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activeTab="3"/>
  </bookViews>
  <sheets>
    <sheet name="编制说明" sheetId="1" r:id="rId1"/>
    <sheet name="楼栋报价汇总表" sheetId="2" r:id="rId2"/>
    <sheet name="体育馆-地上" sheetId="3" r:id="rId3"/>
    <sheet name="体育馆-地上 (2)" sheetId="4" r:id="rId4"/>
  </sheets>
  <definedNames>
    <definedName name="_xlnm._FilterDatabase" localSheetId="2" hidden="1">'体育馆-地上'!$A$2:$M$122</definedName>
    <definedName name="_xlnm._FilterDatabase" localSheetId="3" hidden="1">'体育馆-地上 (2)'!$A$2:$M$101</definedName>
    <definedName name="_xlnm.Print_Area" localSheetId="0">编制说明!$A$1:$A$40</definedName>
    <definedName name="_xlnm.Print_Area" localSheetId="1">楼栋报价汇总表!$A$1:$G$4</definedName>
    <definedName name="_xlnm.Print_Area" localSheetId="2">'体育馆-地上'!$A$1:$M$122</definedName>
    <definedName name="_xlnm.Print_Titles" localSheetId="2">'体育馆-地上'!$2:$4</definedName>
    <definedName name="_xlnm.Print_Area" localSheetId="3">'体育馆-地上 (2)'!$A$1:$M$101</definedName>
    <definedName name="_xlnm.Print_Titles" localSheetId="3">'体育馆-地上 (2)'!$2:$4</definedName>
  </definedNames>
  <calcPr calcId="144525"/>
</workbook>
</file>

<file path=xl/sharedStrings.xml><?xml version="1.0" encoding="utf-8"?>
<sst xmlns="http://schemas.openxmlformats.org/spreadsheetml/2006/main" count="873" uniqueCount="299">
  <si>
    <r>
      <rPr>
        <b/>
        <sz val="16"/>
        <color rgb="FF000000"/>
        <rFont val="宋体"/>
        <charset val="134"/>
      </rPr>
      <t>招标工程量清单编制说明</t>
    </r>
    <r>
      <rPr>
        <b/>
        <sz val="16"/>
        <color rgb="FFFF0000"/>
        <rFont val="宋体"/>
        <charset val="134"/>
      </rPr>
      <t>（报价必看）</t>
    </r>
  </si>
  <si>
    <t>一、编制要求：</t>
  </si>
  <si>
    <r>
      <rPr>
        <sz val="9"/>
        <color rgb="FF000000"/>
        <rFont val="宋体"/>
        <charset val="134"/>
      </rPr>
      <t>1</t>
    </r>
    <r>
      <rPr>
        <b/>
        <sz val="9"/>
        <color rgb="FFFF0000"/>
        <rFont val="宋体"/>
        <charset val="134"/>
      </rPr>
      <t>、清单编制图纸版本：南昌工学院体育场装修图纸修改（2023.05.20）版。</t>
    </r>
  </si>
  <si>
    <r>
      <rPr>
        <sz val="9"/>
        <color rgb="FF000000"/>
        <rFont val="宋体"/>
        <charset val="134"/>
      </rPr>
      <t>2.</t>
    </r>
    <r>
      <rPr>
        <b/>
        <sz val="9"/>
        <color rgb="FFFF0000"/>
        <rFont val="宋体"/>
        <charset val="134"/>
      </rPr>
      <t>本工程暂定工程量，固定综合单价合同</t>
    </r>
    <r>
      <rPr>
        <sz val="9"/>
        <color rgb="FF000000"/>
        <rFont val="宋体"/>
        <charset val="134"/>
      </rPr>
      <t>，综合固定单价包含人工费、材料费、机械费、管理费、措施费、利润、税金、脚手架、成品保护等全部包干单价。</t>
    </r>
  </si>
  <si>
    <t>3.清单子目中，除另有规定外，均包括相应的面层铺贴、挂贴、干挂；刷防护材料、材料运输、固定支架安装、活动面层安装、龙骨铺设、勾缝、磨光、酸洗、打蜡、刷油漆、贴嵌防滑条、固定配件安装、勾分格缝；龙骨、骨架制作、运输、安装、油漆、嵌缝；钉隔离层、基层铺钉、五金、玻璃安装、烫蜡、面层铺贴、装订压条、边框制安。未注明的工作内容、其它材料含在相关项目内。</t>
  </si>
  <si>
    <r>
      <rPr>
        <sz val="9"/>
        <rFont val="宋体"/>
        <charset val="134"/>
      </rPr>
      <t>4.</t>
    </r>
    <r>
      <rPr>
        <b/>
        <sz val="9"/>
        <color rgb="FFFF0000"/>
        <rFont val="宋体"/>
        <charset val="134"/>
      </rPr>
      <t>除单独列项的措施费用外，其他措施费（尤其是脚手架）均包含在综合固定单价内</t>
    </r>
    <r>
      <rPr>
        <sz val="9"/>
        <rFont val="宋体"/>
        <charset val="134"/>
      </rPr>
      <t>。</t>
    </r>
  </si>
  <si>
    <t>5.此价格体系中已按质量标准、工期等要求充分考虑人、材、机、管理、利润、税金及附加的其它费用等因素。</t>
  </si>
  <si>
    <t>6.在签订本合同前已清楚并考虑工地周围环境、交通道路、现场地质资料、周围地下管网、现场条件、招标文件、承包范围、质量标准、工期、施工图纸、施工组织设计，并已考虑检验检测、施工技术措施、安全文明施工措施、保修期内因施工或产品质量问题引起的维修和更换等因素。</t>
  </si>
  <si>
    <t>7.施工单位结合现场实际情况及施工图纸，应详细充分、确保准确无疑地与项目部工程师及设计人员沟通，确保所供的构件数量、尺寸及型号与现场工程需要的尺寸及型号准确无误，对于因沟通不够引起的误工和返工， 由施工方承担经济损失。</t>
  </si>
  <si>
    <r>
      <rPr>
        <b/>
        <sz val="12"/>
        <color indexed="8"/>
        <rFont val="宋体"/>
        <charset val="134"/>
      </rPr>
      <t>二、</t>
    </r>
    <r>
      <rPr>
        <b/>
        <sz val="12"/>
        <rFont val="宋体"/>
        <charset val="134"/>
      </rPr>
      <t>工程计价规则：</t>
    </r>
  </si>
  <si>
    <t>1.本价格体系总价已经包含辅材耗材、机械、人工、安装、施工、运输、搬运、检测、措施费、利润、管理、税费及材料损耗、成品保护、二次转运、风险等一切相关费用。包括全部材料（含甲供材）搬运至现场的费用(综合考虑场内运输)和垃圾清运费、成品保护费、安全文明施工费、清洁费、其他措施费及税金。</t>
  </si>
  <si>
    <r>
      <rPr>
        <sz val="9"/>
        <color rgb="FF000000"/>
        <rFont val="宋体"/>
        <charset val="134"/>
      </rPr>
      <t>2.</t>
    </r>
    <r>
      <rPr>
        <b/>
        <sz val="9"/>
        <color rgb="FFFF0000"/>
        <rFont val="宋体"/>
        <charset val="134"/>
      </rPr>
      <t>石材必须做防水、防碱处理；石材主材价格（见材料单价表中主材价格一栏）为石材成品规格板含表面处理（如光面、荔枝面等）、六面防护、大理石背网运至工地价格、加厚边、加筋、倒角、磨边、水刀拼花；其他二次加工费（如石材暗门、开孔、墙地面结晶等）均包含在辅材及人工费中。</t>
    </r>
  </si>
  <si>
    <t>3.不锈钢制品不因表面更换颜色及纹理和处理方式变化对价格作出调整，且均须作抗指纹处理。</t>
  </si>
  <si>
    <r>
      <rPr>
        <sz val="9"/>
        <color rgb="FF000000"/>
        <rFont val="宋体"/>
        <charset val="134"/>
      </rPr>
      <t>4.本工程天棚吊顶综合单价包含但不限于吊杆长度大于1.5米时，应设置反支撑及完成造型所需的木夹板、施工用脚手架（不分层高综合考虑）；当吊杆与设备相遇时，应调整并增设吊杆（或遇管道设备等需增加钢结构转换层）；如遇重型设备（如装饰灯、电扇等）部位需做加固处理等工作的费用，不再另行计取；</t>
    </r>
    <r>
      <rPr>
        <b/>
        <sz val="9"/>
        <color rgb="FFFF0000"/>
        <rFont val="宋体"/>
        <charset val="134"/>
      </rPr>
      <t>天花及墙面装修超高需搭设脚手架问题及顶层楼梯间超高部分增加费用已单列清单项，投标单位需综合考虑，后期不予增加此费用。</t>
    </r>
  </si>
  <si>
    <r>
      <rPr>
        <sz val="9"/>
        <color rgb="FF000000"/>
        <rFont val="宋体"/>
        <charset val="134"/>
      </rPr>
      <t>5.</t>
    </r>
    <r>
      <rPr>
        <b/>
        <sz val="9"/>
        <color rgb="FFFF0000"/>
        <rFont val="宋体"/>
        <charset val="134"/>
      </rPr>
      <t>投标单位报价无需考虑土建总包配合费</t>
    </r>
    <r>
      <rPr>
        <sz val="9"/>
        <rFont val="宋体"/>
        <charset val="134"/>
      </rPr>
      <t>。</t>
    </r>
  </si>
  <si>
    <t>6.甲方分包项目不属乙方施工范围，不计入合同总价，但乙方应服从项目部管理，配合交叉作业；</t>
  </si>
  <si>
    <r>
      <rPr>
        <sz val="9"/>
        <rFont val="宋体"/>
        <charset val="134"/>
      </rPr>
      <t>7.以下费用都含在综合单价内，不再另计：
　①</t>
    </r>
    <r>
      <rPr>
        <b/>
        <sz val="9"/>
        <color rgb="FFFF0000"/>
        <rFont val="宋体"/>
        <charset val="134"/>
      </rPr>
      <t>施工期内人工、辅材耗材和机械的价格波动风险，所有人工材料价格结算时均不予调差</t>
    </r>
    <r>
      <rPr>
        <sz val="9"/>
        <rFont val="宋体"/>
        <charset val="134"/>
      </rPr>
      <t>；
  ②停电、停水、多次转运、施工场地不足等所需措施的一切费用和工期，并已考虑了各种可能因素影响施工所增加的费用；
  ③本工程所有建筑垃圾，施工单位必须自行清理、装运至小区外，过程中发生的费用；
　④本工程不得在现场加工制作，如施工单位确需在现场加工，其质量保证措施须经招标单位书面同意。材料的进场和堆放应按进度计划进行。</t>
    </r>
  </si>
  <si>
    <t>8.关于清单中各项目工作内容的描述，如有描述不清、错误、漏项或与图纸相矛盾的地方，优先级以图纸为准。</t>
  </si>
  <si>
    <t>10.其他未尽事宜详见合同及技术标准附件;本页不得删除,将作为合同清单的有效组成部分。</t>
  </si>
  <si>
    <t>11.价格组成：综合单价由辅材、人工、机械单价、综合费（含管理费及利润等其他各项费用）组成。
其中：</t>
  </si>
  <si>
    <r>
      <rPr>
        <sz val="9"/>
        <color rgb="FF000000"/>
        <rFont val="宋体"/>
        <charset val="134"/>
      </rPr>
      <t>　①主材单价</t>
    </r>
    <r>
      <rPr>
        <b/>
        <sz val="9"/>
        <color rgb="FFFF0000"/>
        <rFont val="宋体"/>
        <charset val="134"/>
      </rPr>
      <t>（甲供）</t>
    </r>
    <r>
      <rPr>
        <sz val="9"/>
        <color rgb="FF000000"/>
        <rFont val="宋体"/>
        <charset val="134"/>
      </rPr>
      <t>：指材料自来源地运至工地现场并堆放在指定地点的价格，含材料原价</t>
    </r>
    <r>
      <rPr>
        <b/>
        <sz val="9"/>
        <rFont val="宋体"/>
        <charset val="134"/>
      </rPr>
      <t>、</t>
    </r>
    <r>
      <rPr>
        <sz val="9"/>
        <color rgb="FF000000"/>
        <rFont val="宋体"/>
        <charset val="134"/>
      </rPr>
      <t>运杂费、运输损耗及采保费；</t>
    </r>
  </si>
  <si>
    <r>
      <rPr>
        <sz val="9"/>
        <color rgb="FF000000"/>
        <rFont val="宋体"/>
        <charset val="134"/>
      </rPr>
      <t>　②主材损耗</t>
    </r>
    <r>
      <rPr>
        <b/>
        <sz val="9"/>
        <color rgb="FFFF0000"/>
        <rFont val="宋体"/>
        <charset val="134"/>
      </rPr>
      <t>（甲供）</t>
    </r>
    <r>
      <rPr>
        <sz val="9"/>
        <color rgb="FF000000"/>
        <rFont val="宋体"/>
        <charset val="134"/>
      </rPr>
      <t>：详见综合单价分析表，综合单价内的损耗为施工损耗；甲供瓷砖因铺贴排版方式产生的损耗按设计确认的排版图另行计算；</t>
    </r>
  </si>
  <si>
    <t>　③辅材单价：按图纸完成工程所需的除主材外的所有材料价格，含辅材单价、合理损耗等；</t>
  </si>
  <si>
    <r>
      <rPr>
        <sz val="9"/>
        <color rgb="FF000000"/>
        <rFont val="宋体"/>
        <charset val="134"/>
      </rPr>
      <t>　④人工机械单价：按图纸完成工程所需消耗的所有人工机械费用，含制作加工、运输、</t>
    </r>
    <r>
      <rPr>
        <sz val="9"/>
        <rFont val="宋体"/>
        <charset val="134"/>
      </rPr>
      <t>材料采购保管</t>
    </r>
    <r>
      <rPr>
        <sz val="9"/>
        <color rgb="FF000000"/>
        <rFont val="宋体"/>
        <charset val="134"/>
      </rPr>
      <t>、安装及调试等费用；</t>
    </r>
  </si>
  <si>
    <r>
      <rPr>
        <sz val="9"/>
        <color rgb="FF000000"/>
        <rFont val="宋体"/>
        <charset val="134"/>
      </rPr>
      <t xml:space="preserve">  ⑤</t>
    </r>
    <r>
      <rPr>
        <b/>
        <sz val="9"/>
        <color rgb="FFFF0000"/>
        <rFont val="宋体"/>
        <charset val="134"/>
      </rPr>
      <t>为防止材料浪费所有甲供材施工损耗控制在3%以内，若乙方超领用额度超过定额损耗量，超过将对施工方进行罚款处理；</t>
    </r>
  </si>
  <si>
    <t>12.工程量计算规则：工程量根据设计图纸计算，所有工程量均为可视面净量，须特别说明的计算规则如下：</t>
  </si>
  <si>
    <t>1）乳胶漆面积按可视展开面计算；</t>
  </si>
  <si>
    <r>
      <rPr>
        <sz val="9"/>
        <rFont val="宋体"/>
        <charset val="134"/>
      </rPr>
      <t>2）天棚轻钢龙骨，铝合金龙骨按面层不同的标高分一级和跌级天棚，天棚面层在同一标高者称一级天棚，不在同一标高且高差在20cm以上者（不含20cm)称为跌级。
2.1如下图是原顶往下吊则不能算跌级。</t>
    </r>
    <r>
      <rPr>
        <b/>
        <sz val="9"/>
        <color rgb="FFFF0000"/>
        <rFont val="宋体"/>
        <charset val="134"/>
      </rPr>
      <t xml:space="preserve">
</t>
    </r>
  </si>
  <si>
    <t>13.精装总包项目配合费在措施项目清单已单列，投标单位根据地面面积自行填报，后期不得向甲分包、甲供材及其他分包单位收取配合费，为加快进度需服从项目部统筹协调。</t>
  </si>
  <si>
    <t>三、其它说明：</t>
  </si>
  <si>
    <t>1.瓷砖二次加工费用切割、磨边、拉槽、倒角、楼梯踏步防滑槽等均含在辅材及人工费内，不单列清单项后续也不做签证；</t>
  </si>
  <si>
    <t>2.通风空调、防排烟风口、灯孔（槽）等承包范围内涉及配合其他专业分包单位的开洞、固定、洞口周边刷黑色漆由投标单位在综合单价内综合考虑，不单列清单项后续也不做签证；</t>
  </si>
  <si>
    <t>3、空调进出风口加固在各吊顶清单报价中需综合考虑进去，不单列清单项后续也不做签证；</t>
  </si>
  <si>
    <t>4.工程量清单中工程量为1的均为备选清单项，投标单位均需综合考虑报价；</t>
  </si>
  <si>
    <t>5.施工水电费由甲方承担，投标单位无需考虑相关费用；</t>
  </si>
  <si>
    <t>6.投标单位自行复核清单项，如有图纸对应清单缺项漏项，投标单位可回标答疑提出；按清单进行报价，清单内项目特征及备注说明了甲供材料，其他未明确的辅材、耗材、措施费用、人工、机械、工具及各施工工序等均由乙方负责；</t>
  </si>
  <si>
    <t>7.表格中的数字均有公式链接关系，投标人须自行检查核对，并对最后的数据结果负责。</t>
  </si>
  <si>
    <t>南昌工学院体育馆精装修工程汇总表</t>
  </si>
  <si>
    <t>序号</t>
  </si>
  <si>
    <t>楼栋</t>
  </si>
  <si>
    <t>面积基准</t>
  </si>
  <si>
    <t>面积
（m2）</t>
  </si>
  <si>
    <t>含税小计
（元）</t>
  </si>
  <si>
    <t>含税单方造价
(元/m2）</t>
  </si>
  <si>
    <t>备注</t>
  </si>
  <si>
    <t>南昌工学院体育馆
（地上部分）</t>
  </si>
  <si>
    <t>建筑面积</t>
  </si>
  <si>
    <t>3%税金</t>
  </si>
  <si>
    <t>含税合计（元）</t>
  </si>
  <si>
    <t>南昌工学院体育馆工程量清单（地上部分）</t>
  </si>
  <si>
    <t>项目名称</t>
  </si>
  <si>
    <t>项目特征</t>
  </si>
  <si>
    <t>计算规则</t>
  </si>
  <si>
    <t>单位</t>
  </si>
  <si>
    <t>工程量</t>
  </si>
  <si>
    <t>综合单价组成（元）</t>
  </si>
  <si>
    <t>含税综合单价（元）</t>
  </si>
  <si>
    <t>含税合计
（元）</t>
  </si>
  <si>
    <t>承包方式</t>
  </si>
  <si>
    <t>人工费</t>
  </si>
  <si>
    <t>辅材及机械费</t>
  </si>
  <si>
    <t>管理费及利润</t>
  </si>
  <si>
    <t>税金</t>
  </si>
  <si>
    <t>一</t>
  </si>
  <si>
    <t>1层地面</t>
  </si>
  <si>
    <t>拆除200mm厚多孔砖或加气块墙体</t>
  </si>
  <si>
    <t>1、拆除200mm厚多孔砖或加气块墙体；
2、垃圾装袋清运到指定地点；
3.其他：满足设计图纸要求及相关规范、技术要求</t>
  </si>
  <si>
    <t>按图示尺寸以面积计量</t>
  </si>
  <si>
    <t>m2</t>
  </si>
  <si>
    <t>甲供材料：墙地砖、瓷砖胶、水泥、砂
其他材料全部乙供</t>
  </si>
  <si>
    <t>800*800防滑耐磨地砖</t>
  </si>
  <si>
    <t>1.CT-02，800*800防滑耐磨地砖，填缝剂擦缝；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</si>
  <si>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300*600深灰色地砖
(错拼)</t>
  </si>
  <si>
    <t>1.CT-03，300*600深灰色地砖(错拼)，填缝剂擦缝；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</si>
  <si>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800*800防滑耐磨地砖
（楼梯间）</t>
  </si>
  <si>
    <t>1.CT-02，800*800防滑耐磨地砖，填缝剂擦缝，踏步加工四条5*3MM防滑槽；
2.基层清理、扫素水泥浆、基层砂浆铺贴、瓷砖背面瓷砖胶泥或素水泥浆、瓷砖铺贴、勾缝以及为完成该项工作的一切工序【综合考虑瓷砖规格、铺贴砂浆厚度及配合比】
3.其他：满足设计图纸要求及相关规范、技术要求</t>
  </si>
  <si>
    <t>按图示尺寸以水平投影面积计量</t>
  </si>
  <si>
    <t>600*1200水泥灰防滑地砖</t>
  </si>
  <si>
    <t>1.CT-01，600*1200水泥灰防滑地砖，填缝剂擦缝；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</si>
  <si>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门槛石</t>
  </si>
  <si>
    <t>1.ST-02银白龙石材
2.基层清理、扫素水泥浆、基层砂浆铺贴、石材加强布去除、背面石材粘结剂、石材铺贴、勾缝以及为完成该项工作的一切工序【湿贴】
3.其他：满足设计图纸要求及相关规范、技术要求</t>
  </si>
  <si>
    <t>水泥砂浆找平</t>
  </si>
  <si>
    <t>1.饰面层下水泥砂浆找平，
  水泥砂浆找平20mm厚</t>
  </si>
  <si>
    <t>水泥砂浆找平
(厚度增减价)</t>
  </si>
  <si>
    <t>1.水泥砂浆找平层 厚度每增减5mm</t>
  </si>
  <si>
    <t>自流平地面</t>
  </si>
  <si>
    <t>1.3mm厚水泥自流平工序一道，找平，界面剂；（5.0mm厚仿木纹塑胶地板下面）
2.基础地面清理、修补；
3.其他：满足设计图纸要求及相关规范、技术要求。</t>
  </si>
  <si>
    <t>细石混凝土找平层</t>
  </si>
  <si>
    <t>1.C25细石混凝土找平，厚度为40mm；
2.其他：满足设计图纸要求及相关规范、技术要求。</t>
  </si>
  <si>
    <t>㎡</t>
  </si>
  <si>
    <t>1.C25细石混凝土找平，厚度为100mm；
（金刚砂地坪下面）
2.其他：满足设计图纸要求及相关规范、技术要求。</t>
  </si>
  <si>
    <t>沉箱陶粒回填</t>
  </si>
  <si>
    <t>1.沉箱陶粒回填厚度400mm以内
2.其他：满足设计图纸要求及相关规范、技术要求</t>
  </si>
  <si>
    <t>按图示尺寸以体积计量</t>
  </si>
  <si>
    <t>m3</t>
  </si>
  <si>
    <t>二</t>
  </si>
  <si>
    <t>1层天棚</t>
  </si>
  <si>
    <t>白色穿孔铝板吊顶</t>
  </si>
  <si>
    <t>1、AL-04，1.5mm厚白色穿孔铝板；
2、40*40*3镀锌方管@600，Φ8钢筋吊杆，M8膨胀螺栓固定；
3.其他：满足设计图纸要求及相关规范、技术要求。</t>
  </si>
  <si>
    <t>铝扣板吊顶</t>
  </si>
  <si>
    <t>1.AL-06，300*1200*0.8厚铝扣板；
2. 专用衔架龙骨,间距600；
3. U型50轻钢主龙骨,中距900~1200；
4. Φ8钢筋吊杆,中距900~1200,吊杆上部与预留钢筋吊环固定；
5.其他：满足设计图纸要求及相关规范、技术要求。</t>
  </si>
  <si>
    <t>600*1200*20玻纤吸声板</t>
  </si>
  <si>
    <t>1、GWB-01，600*1200*20mm玻纤吸声板；
2、Φ8钢筋吊杆，M8膨胀螺栓固定；
3.其他：满足设计图纸要求及相关规范、技术要求。</t>
  </si>
  <si>
    <t>按单块计量</t>
  </si>
  <si>
    <t>块</t>
  </si>
  <si>
    <t>轻钢龙骨石膏板吊顶（平吊）</t>
  </si>
  <si>
    <t>1、双层石膏板9.5mm厚，自攻螺丝拧牢,钉眼防锈处理，18厚玻镁板基层；
2、C50次龙骨@400，U型60轻钢主龙骨中距1000；
3、 Φ8钢筋吊杆,中距1000,吊杆上部与预留钢筋吊环固定；(包含各种吊顶洞口开孔)
4、其他：满足设计图纸要求及相关规范、技术要求。</t>
  </si>
  <si>
    <t>轻钢龙骨石膏板吊顶（跌一级）</t>
  </si>
  <si>
    <t>1、双层石膏板9.5mm厚，自攻螺丝拧牢,钉眼防锈处理，15厚细木工板基层刷防火漆；
2、50系列轻钢主龙骨；
3、 Φ8钢筋吊杆，M8膨胀螺栓固定；(包含各种吊顶洞口开孔)
4、其他：满足设计图纸要求及相关规范、技术要求。</t>
  </si>
  <si>
    <t>卫生间防水石膏板吊顶（平吊）</t>
  </si>
  <si>
    <t>1、双层防水石膏板9.5mm厚，自攻螺丝拧牢,钉眼防锈处理，18厚玻镁板基层；
2、C50次龙骨@400，U型60轻钢主龙骨中距1000；
3、 Φ8钢筋吊杆,中距1000,吊杆上部与预留钢筋吊环固定；(包含各种吊顶洞口开孔)
4、其他：满足设计图纸要求及相关规范、技术要求。</t>
  </si>
  <si>
    <t>浅灰色镀锌金属网吊顶</t>
  </si>
  <si>
    <t>1.AL-08，浅灰色镀锌金属网(0.4mm厚)；
2.Φ8钢筋吊杆，M8膨胀螺栓固定；
3.其他：满足设计图纸要求及相关规范、技术要求。</t>
  </si>
  <si>
    <t>木饰面刮板吊顶</t>
  </si>
  <si>
    <t>1.WD-01，木饰面刮板；
2.50*20覆面龙骨固定@600，15MM厚阻燃板基层；
3.其他：满足设计图纸要求及相关规范、技术要求。</t>
  </si>
  <si>
    <t>12厚木纹陶铝吸音板吊顶</t>
  </si>
  <si>
    <t>1.WD-02，12厚木纹陶铝吸音板；
2.内填隔音棉(≥32kg/m³)，轻钢CS60上人副龙骨；
3、Φ8钢筋吊杆，M8膨胀螺栓固定；
4、其他：满足设计图纸要求及相关规范、技术要求。</t>
  </si>
  <si>
    <t>木纹铝方通吊顶</t>
  </si>
  <si>
    <t>1.AL-02，30*60*0.8厚木纹铝方通；
2.中龙骨U50x19x0.5,中距&lt;1200,主龙骨60x30x1.5,(吊点附吊挂)中距&lt;1200；
3.Φ8钢筋吊杆,双向中距900~1200,化学螺栓顶面固定；
4.其他：满足设计图纸要求及相关规范、技术要求。</t>
  </si>
  <si>
    <t>美岩水泥装饰板吊顶</t>
  </si>
  <si>
    <t>1.GWB-03，8mm厚美岩水泥装饰板；
2.12厚阻燃板基层，50*20mm覆面龙骨；
3.其他：满足设计图纸要求及相关规范、技术要求。</t>
  </si>
  <si>
    <t>深灰色无机涂料
（原顶）</t>
  </si>
  <si>
    <t>1.混凝土结构基层剔除模板屑、凿除模板缝漏浆等，涂刷界面剂；对于无吊顶有涂料的区域，以原现浇板移交精装单位，需刷素水泥浆一道甩毛；
2.深灰色无机涂料2遍；
3.2mm厚耐水腻子分遍找平1遍；
4.3mm厚底基防裂腻子分遍找平1遍，（砂纸打磨）；
5.其他：满足设计图纸要求及相关规范、技术要求。</t>
  </si>
  <si>
    <t>白色无机涂料
（原顶）</t>
  </si>
  <si>
    <t>1.混凝土结构基层剔除模板屑、凿除模板缝漏浆等，涂刷界面剂；对于无吊顶有涂料的区域，以原现浇板移交精装单位，需刷素水泥浆一道甩毛；
2.白色无机涂料2遍；
3.2mm厚耐水腻子分遍找平1遍；
4.3mm厚底基防裂腻子分遍找平1遍，（砂纸打磨）；
5.其他：满足设计图纸要求及相关规范、技术要求。</t>
  </si>
  <si>
    <t>白色无机涂料
（石膏板吊顶）</t>
  </si>
  <si>
    <t>1.白色无机涂料2遍；
2.2mm厚耐水腻子分遍找平1遍；
3.3mm厚底基防裂腻子分遍找平1遍，（砂纸打磨）；
4.其他：满足设计图纸要求及相关规范、技术要求。</t>
  </si>
  <si>
    <t>窗帘盒</t>
  </si>
  <si>
    <t>(1)12mm玻镁板，防火处理，面贴单层9.5mm石膏板；白色专用防霉胶(软连接)（不含面层乳胶漆，计入天棚乳胶漆），展开宽度400mm；
(2)其他：满足设计图纸要求及相关规范、技术要求</t>
  </si>
  <si>
    <t>按延长米计量</t>
  </si>
  <si>
    <t>m</t>
  </si>
  <si>
    <t>成品检修口</t>
  </si>
  <si>
    <t>1、吊顶开检修口，规格600*600mm以内；
2、检修口安装</t>
  </si>
  <si>
    <t>按图示尺寸以个数计量</t>
  </si>
  <si>
    <t>个</t>
  </si>
  <si>
    <t>反支撑天花（天花吊杆高度1500&lt;W&lt;3000）</t>
  </si>
  <si>
    <t>1.L50x50x5mm热镀锌角钢与C8吊筋满焊固定；
2.其他：满足设计图纸要求及相关规范、技术要求。</t>
  </si>
  <si>
    <t>按水平投影面积</t>
  </si>
  <si>
    <r>
      <rPr>
        <sz val="9"/>
        <color theme="1"/>
        <rFont val="宋体"/>
        <charset val="134"/>
        <scheme val="minor"/>
      </rPr>
      <t>转换层天花（天花吊杆高度</t>
    </r>
    <r>
      <rPr>
        <sz val="9"/>
        <color theme="1"/>
        <rFont val="Arial"/>
        <charset val="134"/>
      </rPr>
      <t>≥</t>
    </r>
    <r>
      <rPr>
        <sz val="9"/>
        <color theme="1"/>
        <rFont val="宋体"/>
        <charset val="134"/>
        <scheme val="minor"/>
      </rPr>
      <t>3000）</t>
    </r>
  </si>
  <si>
    <t>1.L50*50*5热镀锌角钢 @=800mm；
2.L50*50*5热镀锌角钢立杆(与建筑顶板固定)；
3.其他：满足设计图纸要求及相关规范、技术要求。</t>
  </si>
  <si>
    <t>三</t>
  </si>
  <si>
    <t>1层墙面</t>
  </si>
  <si>
    <t>600*1200米白色墙砖(错拼)</t>
  </si>
  <si>
    <t>1.CT-04，600*1200米白色墙砖(错拼)，填缝剂擦缝；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</si>
  <si>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马赛克墙面</t>
  </si>
  <si>
    <t>1.CT-05，马赛克，填缝剂擦缝；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</si>
  <si>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300*600米白色墙砖</t>
  </si>
  <si>
    <t>1.CT-011，300*600米白色墙砖，填缝剂擦缝；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</si>
  <si>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美岩水泥装饰板(浅灰)</t>
  </si>
  <si>
    <t>1.GWB-03，8厚美岩水泥装饰板(浅灰)；
2、12厚阻燃板基层，50*20覆面龙骨；
3、其他：满足设计图纸要求及相关规范、技术要求。</t>
  </si>
  <si>
    <t>美岩水泥装饰板(深灰)</t>
  </si>
  <si>
    <t>1.GWB-07，8厚美岩水泥装饰板(深灰)；
2、12厚阻燃板基层，50*20覆面龙骨；
3、其他：满足设计图纸要求及相关规范、技术要求。</t>
  </si>
  <si>
    <t>前厅吧台</t>
  </si>
  <si>
    <t>1、台面高度为800mm+300mm，台面宽度为300mm+500mm；
2、台面及外饰面为ST-04爵士白石材；
3、内饰面为WD-01，5mm厚成品木饰面(阻燃处理)；
4、MT-01，1.2mm厚黑钛不锈钢踢脚线；
5、L50*5镀锌角钢骨架，M8膨胀螺栓固定；
6、18厚阻燃板基层打底；
7、柜体、柜门制作安装，包含铰链、导轨、拉手等五金件安装；
8、其他：满足设计图纸要求及相关规范、技术要求。</t>
  </si>
  <si>
    <t>按水平延长米计</t>
  </si>
  <si>
    <t>前厅形象墙内钢结构</t>
  </si>
  <si>
    <t>1.160*100*5mm矩形管，顶天立地固定，
竖向间距1.0米；
2、其他：满足设计图纸要求及相关规范、技术要求。</t>
  </si>
  <si>
    <t>按吨计量</t>
  </si>
  <si>
    <t>T</t>
  </si>
  <si>
    <t>木纹铝方通墙面
（前厅形象墙）</t>
  </si>
  <si>
    <t>1、AL-02木纹铝方通，中对中间距120mm；
2、其他：满足设计图纸要求及相关规范、技术要求。</t>
  </si>
  <si>
    <t>按图示尺寸以可视垂直投影面积计量</t>
  </si>
  <si>
    <t>木纹铝单板墙面
（前厅形象墙）</t>
  </si>
  <si>
    <t>1、AL-01木纹铝单板，角码固定，局部造型有木基层；
2、其他：满足设计图纸要求及相关规范、技术要求。</t>
  </si>
  <si>
    <t>按展开面积计量</t>
  </si>
  <si>
    <t>黑钛不锈钢踢脚线</t>
  </si>
  <si>
    <t>1、MT-01，1.2mm厚黑钛不锈钢，50mm高；
2、15mm厚阻燃板基层；
3、其他：满足设计图纸要求及相关规范、技术要求。</t>
  </si>
  <si>
    <t>黑钛不锈钢线条</t>
  </si>
  <si>
    <t>1、MT-01，1.2mm厚黑钛不锈钢，展开面积67mm宽；
2、共用阻燃板基层；
3、其他：满足设计图纸要求及相关规范、技术要求。</t>
  </si>
  <si>
    <t>防火阻燃纤维布墙面</t>
  </si>
  <si>
    <t>1.FA-01，防火阻燃纤维布；
2、15厚阻燃板基层，50*20覆面龙骨@600；
3、其他：满足设计图纸要求及相关规范、技术要求。</t>
  </si>
  <si>
    <t>防火阻燃纤维布墙面（蓝色）</t>
  </si>
  <si>
    <t>1.FA-02，防火阻燃纤维布（蓝色）；
2、15厚阻燃板基层，50*20覆面龙骨@600；
3、其他：满足设计图纸要求及相关规范、技术要求。</t>
  </si>
  <si>
    <t>防火阻燃纤维布墙面（棕色）</t>
  </si>
  <si>
    <t>1.FA-03，防火阻燃纤维布（棕色）；
2、15厚阻燃板基层，50*20覆面龙骨@600；
3、其他：满足设计图纸要求及相关规范、技术要求。</t>
  </si>
  <si>
    <t>定制灯盒
（亚克力透光片）</t>
  </si>
  <si>
    <t>1、亚克力透光片，外露面渐变宽度为100~370mm不等；
2、15厚阻燃板基层，不锈钢饰面；
3、其他：满足设计图纸要求及相关规范、技术要求。</t>
  </si>
  <si>
    <t>按延长米计量
（宽度综合考虑）</t>
  </si>
  <si>
    <t>木纹陶铝吸音板墙面（钢骨架）</t>
  </si>
  <si>
    <t>1.WD-02，12厚木纹陶铝吸音板；
2.40*40*3镀锌方管@600；
3、15MM厚阻燃板基层；
4、其他：满足设计图纸要求及相关规范、技术要求。</t>
  </si>
  <si>
    <t>按图示尺寸以展开面积计量</t>
  </si>
  <si>
    <t>木纹陶铝吸音板墙面（轻钢龙骨）</t>
  </si>
  <si>
    <t>1、WD-02，12厚木纹陶铝吸音板；
2、50*20覆面龙骨固定@600；
3、15MM厚阻燃板基层；
4、其他：满足设计图纸要求及相关规范、技术要求。</t>
  </si>
  <si>
    <t>按图示尺寸以垂直投影面积计量</t>
  </si>
  <si>
    <t>镀锌方管石膏板墙面</t>
  </si>
  <si>
    <t>1、GWB-02，双层纸面石膏板，自攻螺丝拧牢,钉眼防锈处理；
2、40*40*3镀锌方管@600；
3、其他：满足设计图纸要求及相关规范、技术要求</t>
  </si>
  <si>
    <t>墙面白色无机涂料</t>
  </si>
  <si>
    <t>1、PT-01，刷内墙无机涂料三遍；
2、满刮三遍耐水腻子找平（砂纸打磨）；
3、界面剂一道，其他：满足设计图纸要求及相关规范、技术要求</t>
  </si>
  <si>
    <t>墙面深灰色无机涂料</t>
  </si>
  <si>
    <t>1、PT-02，刷内墙无机涂料三遍；
2、满刮三遍耐水腻子找平（砂纸打磨）；
3、界面剂一道，其他：满足设计图纸要求及相关规范、技术要求</t>
  </si>
  <si>
    <t>墙面艺术涂料</t>
  </si>
  <si>
    <t>1、PT-07，刷内墙艺术涂料三遍；
2、满刮三遍耐水腻子找平（砂纸打磨）；
3、界面剂一道，其他：满足设计图纸要求及相关规范、技术要求</t>
  </si>
  <si>
    <t>FC冲孔吸音板墙面</t>
  </si>
  <si>
    <t>1、GWB-05，FC冲孔吸音板；
2、40*40*3镀锌方管@600，内填隔音棉(≥32kg/m³)；
3、其他：满足设计图纸要求及相关规范、技术要求</t>
  </si>
  <si>
    <t>50mm高成品木线条</t>
  </si>
  <si>
    <t>1、WD-01，50mm高成品木线条；
2、共用吸音板基层；
3、其他：满足设计图纸要求及相关规范、技术要求</t>
  </si>
  <si>
    <t>木饰面挂板包柱
（轻钢龙骨）</t>
  </si>
  <si>
    <t>1、WD-01，成品木饰面挂板；
2、50*20覆面龙骨固定@600；
3、15MM厚阻燃板基层；
4、其他：满足设计图纸要求及相关规范、技术要求。</t>
  </si>
  <si>
    <t>木饰面墙面</t>
  </si>
  <si>
    <t>木饰面墙面
（贵宾休息室）</t>
  </si>
  <si>
    <t>1、WD-09，成品木饰面挂板；
2、50*20覆面龙骨固定@600；
3、15MM厚阻燃板基层；
4、其他：满足设计图纸要求及相关规范、技术要求。</t>
  </si>
  <si>
    <t>过道玻璃隔断</t>
  </si>
  <si>
    <t>1、GL-03，成品玻璃隔断，打胶塞缝；
2、U型槽钢卡槽，不锈钢包边；
3、其他：满足设计图纸要求及相关规范、技术要求。</t>
  </si>
  <si>
    <t>按垂直投影面积计量</t>
  </si>
  <si>
    <t>卫生间包水管</t>
  </si>
  <si>
    <t>1.12厚水泥压力板；
2.75系列龙骨；
3.膨胀螺栓或射钉中距@600；
4.钢丝网层；
5.其他：满足设计图纸要求及相关规范、技术要求。</t>
  </si>
  <si>
    <t>公共区域包水管</t>
  </si>
  <si>
    <t>1.8厚水泥压力板，18厚阻燃板基层；
2.75系列龙骨；
3.膨胀螺栓或射钉中距@600；
4.其他：满足设计图纸要求及相关规范、技术要求。</t>
  </si>
  <si>
    <t>弹力批荡系统
（壁球馆）</t>
  </si>
  <si>
    <t>1、弹力批荡系统；
2、15mm阻燃板基层；
3、其他：满足设计图纸要求及相关规范、技术要求</t>
  </si>
  <si>
    <t>消防栓暗门
（水泥装饰板）</t>
  </si>
  <si>
    <t>1.暗藏消防栓700*1900mm，8mm厚美岩水泥装饰板；
2、L50*3镀锌角铁，12厚阻燃板打底，打胶固定及五金安装；
3、综合考虑阳角收口等辅助工作；
4、其他：满足设计图纸要求及相关规范、技术要求。</t>
  </si>
  <si>
    <t>按图示尺寸以樘数计量</t>
  </si>
  <si>
    <t>樘</t>
  </si>
  <si>
    <t>消防栓暗门
（阻燃纤维布）</t>
  </si>
  <si>
    <t>1.暗藏消防栓700*1900mm，防火阻燃纤维布；
2、L50*3镀锌角铁，15厚阻燃板打底，打胶固定及五金安装；
3、综合考虑阳角收口等辅助工作；
4、其他：满足设计图纸要求及相关规范、技术要求。</t>
  </si>
  <si>
    <t>消防栓暗门
（木纹陶铝吸音板）</t>
  </si>
  <si>
    <t>1.暗藏消防栓700*1900mm，木纹陶铝吸音板；
2、L50*3镀锌角铁，15厚阻燃板打底，打胶固定及五金安装；
3、综合考虑阳角收口等辅助工作；
4、其他：满足设计图纸要求及相关规范、技术要求。</t>
  </si>
  <si>
    <t>消防栓暗门
（木饰面）</t>
  </si>
  <si>
    <t>1.暗藏消防栓700*1900mm，木饰面挂板；
2、L50*3镀锌角铁，15厚阻燃板打底，打胶固定及五金安装；
3、综合考虑阳角收口等辅助工作；
4、其他：满足设计图纸要求及相关规范、技术要求。</t>
  </si>
  <si>
    <t>四</t>
  </si>
  <si>
    <t>夹层地面</t>
  </si>
  <si>
    <t>800*800防滑耐磨地砖
（踏步）</t>
  </si>
  <si>
    <t>300*600防滑地砖</t>
  </si>
  <si>
    <t>1.CT-08，300*600防滑地砖，填缝剂擦缝；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</si>
  <si>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五</t>
  </si>
  <si>
    <t>夹层天棚</t>
  </si>
  <si>
    <t>白色无机涂料</t>
  </si>
  <si>
    <t>600*600*22厚硅钙板（平吊）</t>
  </si>
  <si>
    <t>1、600*600*22厚硅钙板；
2、60轻钢主龙骨；
3、Φ8钢筋吊杆，M8膨胀螺栓固定；(包含各种吊顶洞口开孔)
4、其他：满足设计图纸要求及相关规范、技术要求。</t>
  </si>
  <si>
    <t>六</t>
  </si>
  <si>
    <t>夹层墙面</t>
  </si>
  <si>
    <t>成品实木踢脚线</t>
  </si>
  <si>
    <t>1、WD-09，成品实木踢脚线，80mm高；
2、其他：满足设计图纸要求及相关规范、技术要求</t>
  </si>
  <si>
    <t>按图示尺寸以延长米计量</t>
  </si>
  <si>
    <t>排练厅大面银镜</t>
  </si>
  <si>
    <t>1、MR-01，成品银镜；
2、15MM厚阻燃板基层；
3、其他：满足设计图纸要求及相关规范、技术要求。</t>
  </si>
  <si>
    <t>木饰面墙面
（轻钢龙骨）</t>
  </si>
  <si>
    <t>不锈钢板包电梯门套</t>
  </si>
  <si>
    <t>1、MT-01，1.2mm厚黑钛不锈钢；
2、15mm厚阻燃板基层；
3、其他：满足设计图纸要求及相关规范、技术要求。</t>
  </si>
  <si>
    <t>按展开可视面积计量</t>
  </si>
  <si>
    <t>七</t>
  </si>
  <si>
    <t>看台一层及观众席地面</t>
  </si>
  <si>
    <t>300*300防滑地砖</t>
  </si>
  <si>
    <t>1.CT-08，300*300防滑地砖，填缝剂擦缝；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</si>
  <si>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八</t>
  </si>
  <si>
    <t>看台一层及观众席天棚</t>
  </si>
  <si>
    <t>防水石膏板吊顶
（跌一级）</t>
  </si>
  <si>
    <t>灯槽</t>
  </si>
  <si>
    <t>(1)12mm玻镁板基层，刷防火涂料二遍；面贴9.5mm防水石膏板,底面双层，侧边单层（不含面层乳胶漆，计入天棚乳胶漆）；展开宽度≤240mm；
(2)其他：满足设计图纸要求及相关规范、技术要求</t>
  </si>
  <si>
    <t>按延长米</t>
  </si>
  <si>
    <t>FC冲孔吸音板吊顶</t>
  </si>
  <si>
    <t>1.GWB-05，FC冲孔吸音板；
2.内填隔音棉(≥32kg/m³)，轻钢CS60上人副龙骨；
3、Φ8钢筋吊杆，M8膨胀螺栓固定；
4、其他：满足设计图纸要求及相关规范、技术要求。</t>
  </si>
  <si>
    <t>九</t>
  </si>
  <si>
    <t>看台一层及观众席墙面</t>
  </si>
  <si>
    <t>300*600mm米白色墙砖</t>
  </si>
  <si>
    <t>1.CT-11，300*600mm米白色墙砖，填缝剂擦缝；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</si>
  <si>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600*1200米白色墙砖(工字铺)</t>
  </si>
  <si>
    <t>1.CT-04，600*1200米白色墙砖(工字铺)，填缝剂擦缝；
2.基层清理、扫素水泥浆、基层砂浆铺贴、瓷砖背面瓷砖胶泥或素水泥浆、瓷砖铺贴、勾缝以及为完成该项工作的一切工序【综合考虑瓷砖规格、铺贴砂浆厚度及配合比】
3.其他：满足设计图纸要求及相关规范、技术要求</t>
  </si>
  <si>
    <t>木饰面挂板墙面
（轻钢龙骨）</t>
  </si>
  <si>
    <t>1、WD-01，5mm厚成品木饰面(阻燃处理)；
2、50*20覆面龙骨固定@600；
3、15MM厚阻燃板基层；
4、其他：满足设计图纸要求及相关规范、技术要求。</t>
  </si>
  <si>
    <t>瓷砖踢脚线</t>
  </si>
  <si>
    <t>1、100mm高瓷砖踢脚线，稀水泥搽缝；
2、水泥砂浆粘接；
3、其他：满足设计图纸要求及相关规范、技术要求</t>
  </si>
  <si>
    <t>新砌100mm厚加气块墙体</t>
  </si>
  <si>
    <t>1、新砌100mm厚加气块墙体；
2、水泥砂浆砌筑；
3、其他：满足设计图纸要求及相关规范、技术要求</t>
  </si>
  <si>
    <t>内墙抹灰</t>
  </si>
  <si>
    <t>1、素水泥浆一道（内掺建筑胶水）；
2、9厚1：0.5：3水泥石灰膏砂浆打底扫毛或划出纹道；
3、面层5厚1：0.5:2.5水泥石灰砂浆压实赶光到板底；
4、其他：满足设计图纸要求及相关规范、技术要求</t>
  </si>
  <si>
    <t>十</t>
  </si>
  <si>
    <t>措施费及其他费</t>
  </si>
  <si>
    <t>成品保护</t>
  </si>
  <si>
    <t>1、墙地面成品保护；</t>
  </si>
  <si>
    <t>按图示尺寸地面面积计量</t>
  </si>
  <si>
    <t>二次运输
（根据现场情况选择）</t>
  </si>
  <si>
    <t>1、提供垂直运输（含配专业开电梯操作工）；</t>
  </si>
  <si>
    <t>垃圾清运</t>
  </si>
  <si>
    <t>1、垃圾清运；</t>
  </si>
  <si>
    <t>精装总包项目配合费</t>
  </si>
  <si>
    <t>需向甲分包、甲供材及其他交叉作业单位提供配合服务</t>
  </si>
  <si>
    <t>高支模增加费</t>
  </si>
  <si>
    <t>常规脚手架各清单项已综合考虑，此项清单作为专项费用，投标单位需现场踏勘综合考虑搭架情况，若现场已有脚手架可借机利用没有则需自行搭设，后期若发生设计变更费用也不作调整，一次性包干价。</t>
  </si>
  <si>
    <t>按单栋楼以项计量</t>
  </si>
  <si>
    <t>项</t>
  </si>
  <si>
    <t>小计</t>
  </si>
  <si>
    <t>精装泥工、木工等分包</t>
  </si>
  <si>
    <t>甲仅供材料砖、砌块、水泥、砂、砼及约1800m2瓷砖；
其他材料全部乙供</t>
  </si>
  <si>
    <t>自流平地面施工分包</t>
  </si>
  <si>
    <t>水电安装分包</t>
  </si>
  <si>
    <t>精装水电</t>
  </si>
  <si>
    <t>按图纸施工，含所有水电材料；</t>
  </si>
  <si>
    <t>篮球场</t>
  </si>
  <si>
    <t>运动地板及全套标线等</t>
  </si>
  <si>
    <t>多层实木地板</t>
  </si>
  <si>
    <t>供货安装、按踢脚线、地垫、扣条等全套</t>
  </si>
  <si>
    <t>羽毛球场</t>
  </si>
  <si>
    <t>硅PU地面及标线</t>
  </si>
  <si>
    <t>其他地面</t>
  </si>
  <si>
    <t>1.2厚地垫</t>
  </si>
  <si>
    <t>合计：</t>
  </si>
  <si>
    <t>大写</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</si>
</sst>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2]* #,##0.00_);_([$€-2]* \(#,##0.00\);_([$€-2]* &quot;-&quot;??_)"/>
    <numFmt numFmtId="178" formatCode="0.00_);[Red]\(0.00\)"/>
  </numFmts>
  <fonts count="49">
    <font>
      <sz val="11"/>
      <color theme="1"/>
      <name val="宋体"/>
      <charset val="134"/>
      <scheme val="minor"/>
    </font>
    <font>
      <sz val="9"/>
      <color theme="1"/>
      <name val="宋体"/>
      <charset val="134"/>
      <scheme val="minor"/>
    </font>
    <font>
      <b/>
      <sz val="12"/>
      <color theme="1"/>
      <name val="宋体"/>
      <charset val="134"/>
      <scheme val="minor"/>
    </font>
    <font>
      <b/>
      <sz val="9"/>
      <color indexed="8"/>
      <name val="宋体"/>
      <charset val="134"/>
      <scheme val="minor"/>
    </font>
    <font>
      <b/>
      <sz val="9"/>
      <name val="宋体"/>
      <charset val="134"/>
      <scheme val="minor"/>
    </font>
    <font>
      <sz val="9"/>
      <name val="宋体"/>
      <charset val="134"/>
      <scheme val="minor"/>
    </font>
    <font>
      <sz val="9"/>
      <color indexed="8"/>
      <name val="宋体"/>
      <charset val="134"/>
      <scheme val="minor"/>
    </font>
    <font>
      <sz val="9"/>
      <name val="宋体"/>
      <charset val="134"/>
    </font>
    <font>
      <sz val="9"/>
      <color rgb="FFFF0000"/>
      <name val="宋体"/>
      <charset val="134"/>
      <scheme val="minor"/>
    </font>
    <font>
      <b/>
      <sz val="9"/>
      <color theme="1"/>
      <name val="宋体"/>
      <charset val="134"/>
      <scheme val="minor"/>
    </font>
    <font>
      <b/>
      <sz val="14"/>
      <color theme="1"/>
      <name val="宋体"/>
      <charset val="134"/>
      <scheme val="minor"/>
    </font>
    <font>
      <b/>
      <sz val="9"/>
      <color rgb="FFFF0000"/>
      <name val="宋体"/>
      <charset val="134"/>
      <scheme val="minor"/>
    </font>
    <font>
      <sz val="10"/>
      <color theme="1"/>
      <name val="宋体"/>
      <charset val="134"/>
      <scheme val="minor"/>
    </font>
    <font>
      <b/>
      <sz val="10"/>
      <color rgb="FFFF0000"/>
      <name val="宋体"/>
      <charset val="134"/>
      <scheme val="minor"/>
    </font>
    <font>
      <b/>
      <sz val="10"/>
      <color theme="1"/>
      <name val="宋体"/>
      <charset val="134"/>
      <scheme val="minor"/>
    </font>
    <font>
      <sz val="11"/>
      <name val="宋体"/>
      <charset val="134"/>
      <scheme val="minor"/>
    </font>
    <font>
      <sz val="11"/>
      <color indexed="8"/>
      <name val="宋体"/>
      <charset val="134"/>
    </font>
    <font>
      <b/>
      <sz val="9"/>
      <color rgb="FFFF0000"/>
      <name val="宋体"/>
      <charset val="134"/>
    </font>
    <font>
      <b/>
      <sz val="16"/>
      <color rgb="FF000000"/>
      <name val="宋体"/>
      <charset val="134"/>
    </font>
    <font>
      <b/>
      <sz val="12"/>
      <color indexed="8"/>
      <name val="宋体"/>
      <charset val="134"/>
    </font>
    <font>
      <sz val="9"/>
      <color rgb="FF000000"/>
      <name val="宋体"/>
      <charset val="134"/>
    </font>
    <font>
      <sz val="9"/>
      <color indexed="8"/>
      <name val="宋体"/>
      <charset val="134"/>
    </font>
    <font>
      <sz val="10"/>
      <color indexed="8"/>
      <name val="宋体"/>
      <charset val="134"/>
    </font>
    <font>
      <b/>
      <sz val="12"/>
      <name val="宋体"/>
      <charset val="134"/>
    </font>
    <font>
      <sz val="11"/>
      <color theme="1"/>
      <name val="宋体"/>
      <charset val="0"/>
      <scheme val="minor"/>
    </font>
    <font>
      <sz val="12"/>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134"/>
    </font>
    <font>
      <sz val="10"/>
      <name val="Helv"/>
      <charset val="134"/>
    </font>
    <font>
      <sz val="9"/>
      <color theme="1"/>
      <name val="Arial"/>
      <charset val="134"/>
    </font>
    <font>
      <b/>
      <sz val="16"/>
      <color rgb="FFFF0000"/>
      <name val="宋体"/>
      <charset val="134"/>
    </font>
    <font>
      <b/>
      <sz val="9"/>
      <name val="宋体"/>
      <charset val="134"/>
    </font>
  </fonts>
  <fills count="37">
    <fill>
      <patternFill patternType="none"/>
    </fill>
    <fill>
      <patternFill patternType="gray125"/>
    </fill>
    <fill>
      <patternFill patternType="solid">
        <fgColor theme="5" tint="0.6"/>
        <bgColor indexed="64"/>
      </patternFill>
    </fill>
    <fill>
      <patternFill patternType="solid">
        <fgColor theme="9"/>
        <bgColor indexed="64"/>
      </patternFill>
    </fill>
    <fill>
      <patternFill patternType="solid">
        <fgColor rgb="FFFFFF00"/>
        <bgColor indexed="64"/>
      </patternFill>
    </fill>
    <fill>
      <patternFill patternType="solid">
        <fgColor theme="0"/>
        <bgColor indexed="64"/>
      </patternFill>
    </fill>
    <fill>
      <patternFill patternType="solid">
        <fgColor theme="8" tint="0.799981688894314"/>
        <bgColor indexed="64"/>
      </patternFill>
    </fill>
    <fill>
      <patternFill patternType="solid">
        <fgColor theme="5" tint="0.8"/>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0" fontId="24" fillId="9" borderId="0" applyNumberFormat="0" applyBorder="0" applyAlignment="0" applyProtection="0">
      <alignment vertical="center"/>
    </xf>
    <xf numFmtId="0" fontId="25" fillId="0" borderId="0" applyProtection="0"/>
    <xf numFmtId="0" fontId="26" fillId="10" borderId="9" applyNumberFormat="0" applyAlignment="0" applyProtection="0">
      <alignment vertical="center"/>
    </xf>
    <xf numFmtId="44" fontId="0" fillId="0" borderId="0" applyFont="0" applyFill="0" applyBorder="0" applyAlignment="0" applyProtection="0">
      <alignment vertical="center"/>
    </xf>
    <xf numFmtId="0" fontId="25" fillId="0" borderId="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7" fillId="12" borderId="0" applyNumberFormat="0" applyBorder="0" applyAlignment="0" applyProtection="0">
      <alignment vertical="center"/>
    </xf>
    <xf numFmtId="43" fontId="0" fillId="0" borderId="0" applyFont="0" applyFill="0" applyBorder="0" applyAlignment="0" applyProtection="0">
      <alignment vertical="center"/>
    </xf>
    <xf numFmtId="0" fontId="28" fillId="1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4" borderId="10" applyNumberFormat="0" applyFont="0" applyAlignment="0" applyProtection="0">
      <alignment vertical="center"/>
    </xf>
    <xf numFmtId="0" fontId="23" fillId="0" borderId="0" applyNumberFormat="0" applyFill="0" applyBorder="0" applyAlignment="0" applyProtection="0"/>
    <xf numFmtId="0" fontId="28" fillId="15"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28" fillId="16" borderId="0" applyNumberFormat="0" applyBorder="0" applyAlignment="0" applyProtection="0">
      <alignment vertical="center"/>
    </xf>
    <xf numFmtId="0" fontId="31" fillId="0" borderId="12" applyNumberFormat="0" applyFill="0" applyAlignment="0" applyProtection="0">
      <alignment vertical="center"/>
    </xf>
    <xf numFmtId="0" fontId="25" fillId="0" borderId="0"/>
    <xf numFmtId="0" fontId="28" fillId="17" borderId="0" applyNumberFormat="0" applyBorder="0" applyAlignment="0" applyProtection="0">
      <alignment vertical="center"/>
    </xf>
    <xf numFmtId="0" fontId="37" fillId="18" borderId="13" applyNumberFormat="0" applyAlignment="0" applyProtection="0">
      <alignment vertical="center"/>
    </xf>
    <xf numFmtId="0" fontId="38" fillId="18" borderId="9" applyNumberFormat="0" applyAlignment="0" applyProtection="0">
      <alignment vertical="center"/>
    </xf>
    <xf numFmtId="0" fontId="21" fillId="0" borderId="0"/>
    <xf numFmtId="0" fontId="39" fillId="19" borderId="14" applyNumberFormat="0" applyAlignment="0" applyProtection="0">
      <alignment vertical="center"/>
    </xf>
    <xf numFmtId="0" fontId="24" fillId="20" borderId="0" applyNumberFormat="0" applyBorder="0" applyAlignment="0" applyProtection="0">
      <alignment vertical="center"/>
    </xf>
    <xf numFmtId="0" fontId="28" fillId="21" borderId="0" applyNumberFormat="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21" fillId="0" borderId="0"/>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25" fillId="0" borderId="0">
      <alignment vertical="center"/>
    </xf>
    <xf numFmtId="0" fontId="24" fillId="6" borderId="0" applyNumberFormat="0" applyBorder="0" applyAlignment="0" applyProtection="0">
      <alignment vertical="center"/>
    </xf>
    <xf numFmtId="0" fontId="28"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0" borderId="0"/>
    <xf numFmtId="0" fontId="24" fillId="8" borderId="0" applyNumberFormat="0" applyBorder="0" applyAlignment="0" applyProtection="0">
      <alignment vertical="center"/>
    </xf>
    <xf numFmtId="0" fontId="24"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8" fillId="32" borderId="0" applyNumberFormat="0" applyBorder="0" applyAlignment="0" applyProtection="0">
      <alignment vertical="center"/>
    </xf>
    <xf numFmtId="0" fontId="44" fillId="0" borderId="0"/>
    <xf numFmtId="0" fontId="24" fillId="33" borderId="0" applyNumberFormat="0" applyBorder="0" applyAlignment="0" applyProtection="0">
      <alignment vertical="center"/>
    </xf>
    <xf numFmtId="0" fontId="28" fillId="34" borderId="0" applyNumberFormat="0" applyBorder="0" applyAlignment="0" applyProtection="0">
      <alignment vertical="center"/>
    </xf>
    <xf numFmtId="0" fontId="28" fillId="3" borderId="0" applyNumberFormat="0" applyBorder="0" applyAlignment="0" applyProtection="0">
      <alignment vertical="center"/>
    </xf>
    <xf numFmtId="0" fontId="24" fillId="35" borderId="0" applyNumberFormat="0" applyBorder="0" applyAlignment="0" applyProtection="0">
      <alignment vertical="center"/>
    </xf>
    <xf numFmtId="0" fontId="28" fillId="36" borderId="0" applyNumberFormat="0" applyBorder="0" applyAlignment="0" applyProtection="0">
      <alignment vertical="center"/>
    </xf>
    <xf numFmtId="0" fontId="16" fillId="0" borderId="0">
      <alignment vertical="center"/>
    </xf>
    <xf numFmtId="0" fontId="25" fillId="0" borderId="0"/>
    <xf numFmtId="0" fontId="45" fillId="0" borderId="0" applyProtection="0"/>
    <xf numFmtId="0" fontId="16" fillId="0" borderId="0">
      <alignment vertical="center"/>
    </xf>
    <xf numFmtId="0" fontId="45" fillId="0" borderId="0"/>
    <xf numFmtId="0" fontId="16" fillId="0" borderId="0">
      <alignment vertical="center"/>
    </xf>
    <xf numFmtId="0" fontId="25" fillId="0" borderId="0" applyProtection="0"/>
    <xf numFmtId="0" fontId="25" fillId="0" borderId="0" applyProtection="0">
      <alignment vertical="center"/>
    </xf>
    <xf numFmtId="0" fontId="25" fillId="0" borderId="0">
      <alignment vertical="center"/>
    </xf>
    <xf numFmtId="0" fontId="25" fillId="0" borderId="0" applyProtection="0">
      <alignment vertical="center"/>
    </xf>
  </cellStyleXfs>
  <cellXfs count="125">
    <xf numFmtId="0" fontId="0" fillId="0" borderId="0" xfId="0">
      <alignment vertical="center"/>
    </xf>
    <xf numFmtId="0" fontId="0" fillId="2" borderId="0" xfId="0" applyFill="1">
      <alignment vertical="center"/>
    </xf>
    <xf numFmtId="0" fontId="1" fillId="3" borderId="0" xfId="0" applyFont="1" applyFill="1" applyAlignment="1">
      <alignment horizontal="center" vertical="center"/>
    </xf>
    <xf numFmtId="0" fontId="1" fillId="4" borderId="0" xfId="0" applyFont="1" applyFill="1" applyBorder="1" applyAlignment="1">
      <alignment horizontal="center" vertical="center"/>
    </xf>
    <xf numFmtId="0" fontId="1" fillId="5"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6" borderId="1" xfId="0" applyFont="1" applyFill="1" applyBorder="1" applyAlignment="1">
      <alignment horizontal="center" vertical="center" wrapText="1"/>
    </xf>
    <xf numFmtId="10" fontId="3" fillId="6"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5" fillId="0" borderId="1" xfId="39" applyNumberFormat="1" applyFont="1" applyFill="1" applyBorder="1" applyAlignment="1" applyProtection="1">
      <alignment horizontal="center" vertical="center" wrapText="1"/>
    </xf>
    <xf numFmtId="0" fontId="5" fillId="0" borderId="1" xfId="59" applyFont="1" applyFill="1" applyBorder="1" applyAlignment="1" applyProtection="1">
      <alignment horizontal="center" vertical="center" wrapText="1"/>
    </xf>
    <xf numFmtId="0" fontId="5" fillId="0" borderId="1" xfId="59"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39" applyNumberFormat="1" applyFont="1" applyFill="1" applyBorder="1" applyAlignment="1">
      <alignment horizontal="center" vertical="center" wrapText="1"/>
    </xf>
    <xf numFmtId="176" fontId="6" fillId="7" borderId="1" xfId="58" applyNumberFormat="1" applyFont="1" applyFill="1" applyBorder="1" applyAlignment="1" applyProtection="1">
      <alignment horizontal="center" vertical="center" wrapText="1"/>
    </xf>
    <xf numFmtId="176" fontId="1" fillId="7" borderId="1" xfId="0" applyNumberFormat="1" applyFont="1" applyFill="1" applyBorder="1" applyAlignment="1">
      <alignment horizontal="center" vertical="center" wrapText="1"/>
    </xf>
    <xf numFmtId="176" fontId="1" fillId="7"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61" applyNumberFormat="1" applyFont="1" applyFill="1" applyBorder="1" applyAlignment="1">
      <alignment horizontal="center" vertical="center" wrapText="1" shrinkToFit="1"/>
    </xf>
    <xf numFmtId="0" fontId="7" fillId="0" borderId="1" xfId="26" applyFont="1" applyFill="1" applyBorder="1" applyAlignment="1">
      <alignment horizontal="center" vertical="center" wrapText="1"/>
    </xf>
    <xf numFmtId="0" fontId="7" fillId="0" borderId="1" xfId="36" applyFont="1" applyFill="1" applyBorder="1" applyAlignment="1">
      <alignment horizontal="left" vertical="center" wrapText="1"/>
    </xf>
    <xf numFmtId="0" fontId="7" fillId="0" borderId="1" xfId="64" applyNumberFormat="1" applyFont="1" applyFill="1" applyBorder="1" applyAlignment="1">
      <alignment horizontal="center" vertical="center" wrapText="1"/>
    </xf>
    <xf numFmtId="0" fontId="7" fillId="0" borderId="1" xfId="61"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176" fontId="8" fillId="7" borderId="1" xfId="58" applyNumberFormat="1" applyFont="1" applyFill="1" applyBorder="1" applyAlignment="1" applyProtection="1">
      <alignment horizontal="center" vertical="center" wrapText="1"/>
    </xf>
    <xf numFmtId="176" fontId="5" fillId="0" borderId="1" xfId="16" applyNumberFormat="1" applyFont="1" applyFill="1" applyBorder="1" applyAlignment="1">
      <alignment horizontal="center" vertical="center" wrapText="1"/>
    </xf>
    <xf numFmtId="176" fontId="5" fillId="0" borderId="1" xfId="58" applyNumberFormat="1" applyFont="1" applyFill="1" applyBorder="1" applyAlignment="1" applyProtection="1">
      <alignment horizontal="center" vertical="center" wrapText="1"/>
    </xf>
    <xf numFmtId="177" fontId="5" fillId="0" borderId="1" xfId="26" applyNumberFormat="1" applyFont="1" applyFill="1" applyBorder="1" applyAlignment="1">
      <alignment horizontal="center" vertical="center" wrapText="1"/>
    </xf>
    <xf numFmtId="0" fontId="5" fillId="0" borderId="1" xfId="52"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7" fillId="0" borderId="1" xfId="59" applyFont="1" applyFill="1" applyBorder="1" applyAlignment="1" applyProtection="1">
      <alignment horizontal="left" vertical="center" wrapText="1"/>
    </xf>
    <xf numFmtId="176" fontId="3" fillId="6" borderId="1" xfId="0" applyNumberFormat="1" applyFont="1" applyFill="1" applyBorder="1" applyAlignment="1">
      <alignment horizontal="center" vertical="center" wrapText="1"/>
    </xf>
    <xf numFmtId="10" fontId="3" fillId="8"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xf>
    <xf numFmtId="176" fontId="5" fillId="0" borderId="4" xfId="58" applyNumberFormat="1" applyFont="1" applyFill="1" applyBorder="1" applyAlignment="1" applyProtection="1">
      <alignment horizontal="center" vertical="center" wrapText="1"/>
    </xf>
    <xf numFmtId="176" fontId="5" fillId="0" borderId="5" xfId="58" applyNumberFormat="1" applyFont="1" applyFill="1" applyBorder="1" applyAlignment="1" applyProtection="1">
      <alignment horizontal="center" vertical="center" wrapText="1"/>
    </xf>
    <xf numFmtId="176" fontId="8" fillId="0" borderId="6" xfId="58" applyNumberFormat="1" applyFont="1" applyFill="1" applyBorder="1" applyAlignment="1" applyProtection="1">
      <alignment horizontal="center" vertical="center" wrapText="1"/>
    </xf>
    <xf numFmtId="0" fontId="8" fillId="0" borderId="0" xfId="0" applyFont="1" applyFill="1" applyAlignment="1">
      <alignment horizontal="center" vertical="center"/>
    </xf>
    <xf numFmtId="0" fontId="7" fillId="0" borderId="1" xfId="30" applyFont="1" applyFill="1" applyBorder="1" applyAlignment="1">
      <alignment horizontal="left" vertical="center" wrapText="1"/>
    </xf>
    <xf numFmtId="177" fontId="5" fillId="0" borderId="1" xfId="30" applyNumberFormat="1" applyFont="1" applyFill="1" applyBorder="1" applyAlignment="1">
      <alignment horizontal="left" vertical="center" wrapText="1"/>
    </xf>
    <xf numFmtId="177" fontId="5" fillId="0" borderId="1" xfId="26" applyNumberFormat="1" applyFont="1" applyFill="1" applyBorder="1" applyAlignment="1">
      <alignment horizontal="center" vertical="center"/>
    </xf>
    <xf numFmtId="177" fontId="5" fillId="0" borderId="1" xfId="3"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6" borderId="1" xfId="39" applyNumberFormat="1" applyFont="1" applyFill="1" applyBorder="1" applyAlignment="1" applyProtection="1">
      <alignment horizontal="center" vertical="center" wrapText="1"/>
    </xf>
    <xf numFmtId="49" fontId="4" fillId="6" borderId="1" xfId="0" applyNumberFormat="1" applyFont="1" applyFill="1" applyBorder="1" applyAlignment="1">
      <alignment horizontal="center" vertical="center"/>
    </xf>
    <xf numFmtId="49" fontId="4" fillId="6" borderId="1" xfId="0" applyNumberFormat="1" applyFont="1" applyFill="1" applyBorder="1" applyAlignment="1">
      <alignment horizontal="left" vertical="center"/>
    </xf>
    <xf numFmtId="0" fontId="1" fillId="6" borderId="1" xfId="0" applyFont="1" applyFill="1" applyBorder="1" applyAlignment="1">
      <alignment horizontal="center" vertical="center" wrapText="1"/>
    </xf>
    <xf numFmtId="176" fontId="1" fillId="6" borderId="1" xfId="0" applyNumberFormat="1" applyFont="1" applyFill="1" applyBorder="1" applyAlignment="1">
      <alignment horizontal="center" vertical="center" wrapText="1"/>
    </xf>
    <xf numFmtId="176" fontId="1" fillId="6" borderId="1" xfId="0" applyNumberFormat="1" applyFont="1" applyFill="1" applyBorder="1" applyAlignment="1">
      <alignment horizontal="center" vertical="center"/>
    </xf>
    <xf numFmtId="0" fontId="5" fillId="2" borderId="1" xfId="39" applyNumberFormat="1" applyFont="1" applyFill="1" applyBorder="1" applyAlignment="1" applyProtection="1">
      <alignment horizontal="center" vertical="center" wrapText="1"/>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76" fontId="5" fillId="0" borderId="7" xfId="58" applyNumberFormat="1" applyFont="1" applyFill="1" applyBorder="1" applyAlignment="1" applyProtection="1">
      <alignment horizontal="center" vertical="center" wrapText="1"/>
    </xf>
    <xf numFmtId="176" fontId="11" fillId="6" borderId="1" xfId="0" applyNumberFormat="1" applyFont="1" applyFill="1" applyBorder="1" applyAlignment="1">
      <alignment horizontal="center" vertical="center" wrapText="1"/>
    </xf>
    <xf numFmtId="176" fontId="11" fillId="2" borderId="5" xfId="0" applyNumberFormat="1" applyFont="1" applyFill="1" applyBorder="1" applyAlignment="1">
      <alignment horizontal="center" vertical="center" wrapText="1"/>
    </xf>
    <xf numFmtId="176" fontId="5" fillId="0" borderId="5" xfId="58" applyNumberFormat="1" applyFont="1" applyFill="1" applyBorder="1" applyAlignment="1" applyProtection="1">
      <alignment vertical="center" wrapText="1"/>
    </xf>
    <xf numFmtId="176" fontId="5" fillId="0" borderId="8" xfId="58" applyNumberFormat="1" applyFont="1" applyFill="1" applyBorder="1" applyAlignment="1" applyProtection="1">
      <alignment vertical="center" wrapText="1"/>
    </xf>
    <xf numFmtId="0" fontId="1" fillId="2" borderId="0" xfId="0" applyFont="1" applyFill="1" applyAlignment="1">
      <alignment horizontal="left" vertical="center"/>
    </xf>
    <xf numFmtId="0" fontId="8" fillId="0" borderId="0"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178" fontId="8" fillId="0" borderId="0" xfId="0" applyNumberFormat="1" applyFont="1" applyFill="1" applyBorder="1" applyAlignment="1">
      <alignment horizontal="center" vertical="center"/>
    </xf>
    <xf numFmtId="0" fontId="9"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176" fontId="12" fillId="0" borderId="4" xfId="0" applyNumberFormat="1" applyFont="1" applyBorder="1" applyAlignment="1">
      <alignment horizontal="center" vertical="center"/>
    </xf>
    <xf numFmtId="176" fontId="12"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4" fillId="6" borderId="1"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3" xfId="0" applyFont="1" applyFill="1" applyBorder="1" applyAlignment="1">
      <alignment horizontal="center" vertical="center"/>
    </xf>
    <xf numFmtId="176" fontId="14" fillId="6" borderId="1" xfId="0" applyNumberFormat="1" applyFont="1" applyFill="1" applyBorder="1" applyAlignment="1">
      <alignment horizontal="center" vertical="center"/>
    </xf>
    <xf numFmtId="0" fontId="15" fillId="0" borderId="0" xfId="0" applyFo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1" xfId="0" applyFont="1" applyFill="1" applyBorder="1" applyAlignment="1">
      <alignment horizontal="center"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21" fillId="0" borderId="1" xfId="0" applyFont="1" applyFill="1" applyBorder="1" applyAlignment="1">
      <alignment vertical="center" wrapText="1"/>
    </xf>
    <xf numFmtId="0" fontId="22" fillId="0" borderId="0" xfId="0" applyFont="1" applyFill="1" applyBorder="1" applyAlignment="1">
      <alignment vertical="center"/>
    </xf>
    <xf numFmtId="0" fontId="7" fillId="0" borderId="1" xfId="0" applyFont="1" applyFill="1" applyBorder="1" applyAlignment="1">
      <alignment vertical="center" wrapText="1"/>
    </xf>
    <xf numFmtId="0" fontId="1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23" fillId="0" borderId="1" xfId="0" applyFont="1" applyFill="1" applyBorder="1" applyAlignment="1">
      <alignment vertical="center" wrapText="1"/>
    </xf>
  </cellXfs>
  <cellStyles count="68">
    <cellStyle name="常规" xfId="0" builtinId="0"/>
    <cellStyle name="货币[0]" xfId="1" builtinId="7"/>
    <cellStyle name="20% - 强调文字颜色 3" xfId="2" builtinId="38"/>
    <cellStyle name="常规_0928润园西区3套C标精装样板房（批量精装房长沙） 3" xfId="3"/>
    <cellStyle name="输入" xfId="4" builtinId="20"/>
    <cellStyle name="货币" xfId="5" builtinId="4"/>
    <cellStyle name="常规 10 10 2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ColLevel_0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常规 2 5 2 4" xfId="26"/>
    <cellStyle name="60% - 强调文字颜色 4" xfId="27" builtinId="44"/>
    <cellStyle name="输出" xfId="28" builtinId="21"/>
    <cellStyle name="计算" xfId="29" builtinId="22"/>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常规 27" xfId="36"/>
    <cellStyle name="好" xfId="37" builtinId="26"/>
    <cellStyle name="适中" xfId="38" builtinId="28"/>
    <cellStyle name="常规 5_水电 _2" xfId="39"/>
    <cellStyle name="20% - 强调文字颜色 5" xfId="40" builtinId="46"/>
    <cellStyle name="强调文字颜色 1" xfId="41" builtinId="29"/>
    <cellStyle name="20% - 强调文字颜色 1" xfId="42" builtinId="30"/>
    <cellStyle name="40% - 强调文字颜色 1" xfId="43" builtinId="31"/>
    <cellStyle name="常规 2 5 2 4 2" xfId="44"/>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2" xfId="58"/>
    <cellStyle name="常规 3" xfId="59"/>
    <cellStyle name="常规_【清单】青山湖名邸C3户型精装样板房" xfId="60"/>
    <cellStyle name="常规 11" xfId="61"/>
    <cellStyle name="常规_【清单】青山湖名邸C3户型精装样板房 2" xfId="62"/>
    <cellStyle name="常规 11 2 4" xfId="63"/>
    <cellStyle name="常规_上海新里程" xfId="64"/>
    <cellStyle name="常规_附件11四季花城北区六期室内装修工程量清单（台州）" xfId="65"/>
    <cellStyle name="常规_附件11四季花城北区六期室内装修工程量清单（台州） 2" xfId="66"/>
    <cellStyle name="常规_金域蓝湾总包工程报价清单0304"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38100</xdr:colOff>
      <xdr:row>28</xdr:row>
      <xdr:rowOff>136525</xdr:rowOff>
    </xdr:from>
    <xdr:to>
      <xdr:col>0</xdr:col>
      <xdr:colOff>4272915</xdr:colOff>
      <xdr:row>30</xdr:row>
      <xdr:rowOff>858520</xdr:rowOff>
    </xdr:to>
    <xdr:pic>
      <xdr:nvPicPr>
        <xdr:cNvPr id="2" name="Picture 4"/>
        <xdr:cNvPicPr>
          <a:picLocks noChangeAspect="1" noChangeArrowheads="1"/>
        </xdr:cNvPicPr>
      </xdr:nvPicPr>
      <xdr:blipFill>
        <a:blip r:embed="rId1"/>
        <a:srcRect/>
        <a:stretch>
          <a:fillRect/>
        </a:stretch>
      </xdr:blipFill>
      <xdr:spPr>
        <a:xfrm>
          <a:off x="38100" y="10550525"/>
          <a:ext cx="4234815" cy="1928495"/>
        </a:xfrm>
        <a:prstGeom prst="rect">
          <a:avLst/>
        </a:prstGeom>
        <a:noFill/>
        <a:ln w="1">
          <a:noFill/>
          <a:miter lim="800000"/>
          <a:headEnd/>
          <a:tailEnd type="none" w="med" len="med"/>
        </a:ln>
        <a:effectLst/>
      </xdr:spPr>
    </xdr:pic>
    <xdr:clientData/>
  </xdr:twoCellAnchor>
  <xdr:twoCellAnchor editAs="oneCell">
    <xdr:from>
      <xdr:col>0</xdr:col>
      <xdr:colOff>38100</xdr:colOff>
      <xdr:row>28</xdr:row>
      <xdr:rowOff>136525</xdr:rowOff>
    </xdr:from>
    <xdr:to>
      <xdr:col>0</xdr:col>
      <xdr:colOff>4272915</xdr:colOff>
      <xdr:row>30</xdr:row>
      <xdr:rowOff>858520</xdr:rowOff>
    </xdr:to>
    <xdr:pic>
      <xdr:nvPicPr>
        <xdr:cNvPr id="3" name="Picture 4"/>
        <xdr:cNvPicPr>
          <a:picLocks noChangeAspect="1" noChangeArrowheads="1"/>
        </xdr:cNvPicPr>
      </xdr:nvPicPr>
      <xdr:blipFill>
        <a:blip r:embed="rId1"/>
        <a:srcRect/>
        <a:stretch>
          <a:fillRect/>
        </a:stretch>
      </xdr:blipFill>
      <xdr:spPr>
        <a:xfrm>
          <a:off x="38100" y="10550525"/>
          <a:ext cx="4234815" cy="1928495"/>
        </a:xfrm>
        <a:prstGeom prst="rect">
          <a:avLst/>
        </a:prstGeom>
        <a:noFill/>
        <a:ln w="1">
          <a:noFill/>
          <a:miter lim="800000"/>
          <a:headEnd/>
          <a:tailEnd type="none" w="med" len="med"/>
        </a:ln>
        <a:effectLst/>
      </xdr:spPr>
    </xdr:pic>
    <xdr:clientData/>
  </xdr:twoCellAnchor>
  <xdr:twoCellAnchor editAs="oneCell">
    <xdr:from>
      <xdr:col>0</xdr:col>
      <xdr:colOff>38100</xdr:colOff>
      <xdr:row>28</xdr:row>
      <xdr:rowOff>136525</xdr:rowOff>
    </xdr:from>
    <xdr:to>
      <xdr:col>0</xdr:col>
      <xdr:colOff>4272915</xdr:colOff>
      <xdr:row>30</xdr:row>
      <xdr:rowOff>858520</xdr:rowOff>
    </xdr:to>
    <xdr:pic>
      <xdr:nvPicPr>
        <xdr:cNvPr id="4" name="Picture 4"/>
        <xdr:cNvPicPr>
          <a:picLocks noChangeAspect="1" noChangeArrowheads="1"/>
        </xdr:cNvPicPr>
      </xdr:nvPicPr>
      <xdr:blipFill>
        <a:blip r:embed="rId1"/>
        <a:srcRect/>
        <a:stretch>
          <a:fillRect/>
        </a:stretch>
      </xdr:blipFill>
      <xdr:spPr>
        <a:xfrm>
          <a:off x="38100" y="10550525"/>
          <a:ext cx="4234815" cy="192849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40"/>
  <sheetViews>
    <sheetView view="pageBreakPreview" zoomScaleNormal="100" workbookViewId="0">
      <pane ySplit="1" topLeftCell="A30" activePane="bottomLeft" state="frozen"/>
      <selection/>
      <selection pane="bottomLeft" activeCell="A44" sqref="A44"/>
    </sheetView>
  </sheetViews>
  <sheetFormatPr defaultColWidth="35.6636363636364" defaultRowHeight="14"/>
  <cols>
    <col min="1" max="1" width="100.636363636364" style="112" customWidth="1"/>
    <col min="2" max="31" width="9" style="112" customWidth="1"/>
    <col min="32" max="223" width="35.6636363636364" style="112" customWidth="1"/>
    <col min="224" max="251" width="9" style="112" customWidth="1"/>
    <col min="252" max="252" width="18.1090909090909" style="112" customWidth="1"/>
    <col min="253" max="253" width="9.89090909090909" style="112" customWidth="1"/>
    <col min="254" max="254" width="47.3363636363636" style="112" customWidth="1"/>
    <col min="255" max="16384" width="35.6636363636364" style="112"/>
  </cols>
  <sheetData>
    <row r="1" s="111" customFormat="1" ht="30" customHeight="1" spans="1:254">
      <c r="A1" s="114" t="s">
        <v>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c r="IR1" s="112"/>
      <c r="IS1" s="112"/>
      <c r="IT1" s="112"/>
    </row>
    <row r="2" s="111" customFormat="1" ht="20" customHeight="1" spans="1:254">
      <c r="A2" s="115" t="s">
        <v>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row>
    <row r="3" s="111" customFormat="1" ht="25" customHeight="1" spans="1:254">
      <c r="A3" s="116" t="s">
        <v>2</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row>
    <row r="4" s="111" customFormat="1" ht="25" customHeight="1" spans="1:254">
      <c r="A4" s="116" t="s">
        <v>3</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row>
    <row r="5" s="111" customFormat="1" ht="40" customHeight="1" spans="1:254">
      <c r="A5" s="117" t="s">
        <v>4</v>
      </c>
      <c r="B5" s="112"/>
      <c r="C5" s="112"/>
      <c r="D5" s="118"/>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row>
    <row r="6" s="111" customFormat="1" ht="25" customHeight="1" spans="1:254">
      <c r="A6" s="119" t="s">
        <v>5</v>
      </c>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row>
    <row r="7" s="111" customFormat="1" ht="25" customHeight="1" spans="1:254">
      <c r="A7" s="117" t="s">
        <v>6</v>
      </c>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row>
    <row r="8" s="111" customFormat="1" ht="40" customHeight="1" spans="1:254">
      <c r="A8" s="117" t="s">
        <v>7</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row>
    <row r="9" s="111" customFormat="1" ht="25" customHeight="1" spans="1:254">
      <c r="A9" s="117" t="s">
        <v>8</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row>
    <row r="10" s="111" customFormat="1" ht="25" customHeight="1" spans="1:254">
      <c r="A10" s="115" t="s">
        <v>9</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row>
    <row r="11" s="111" customFormat="1" ht="40" customHeight="1" spans="1:254">
      <c r="A11" s="116" t="s">
        <v>10</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c r="IR11" s="112"/>
      <c r="IS11" s="112"/>
      <c r="IT11" s="112"/>
    </row>
    <row r="12" s="111" customFormat="1" ht="40" customHeight="1" spans="1:254">
      <c r="A12" s="116" t="s">
        <v>11</v>
      </c>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c r="IR12" s="112"/>
      <c r="IS12" s="112"/>
      <c r="IT12" s="112"/>
    </row>
    <row r="13" s="111" customFormat="1" ht="25" customHeight="1" spans="1:254">
      <c r="A13" s="117" t="s">
        <v>12</v>
      </c>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row>
    <row r="14" s="111" customFormat="1" ht="50" customHeight="1" spans="1:254">
      <c r="A14" s="116" t="s">
        <v>13</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row>
    <row r="15" s="111" customFormat="1" ht="25" customHeight="1" spans="1:254">
      <c r="A15" s="116" t="s">
        <v>14</v>
      </c>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c r="IR15" s="112"/>
      <c r="IS15" s="112"/>
      <c r="IT15" s="112"/>
    </row>
    <row r="16" s="111" customFormat="1" ht="25" customHeight="1" spans="1:254">
      <c r="A16" s="117" t="s">
        <v>15</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c r="IR16" s="112"/>
      <c r="IS16" s="112"/>
      <c r="IT16" s="112"/>
    </row>
    <row r="17" s="111" customFormat="1" ht="60" customHeight="1" spans="1:254">
      <c r="A17" s="119" t="s">
        <v>16</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row>
    <row r="18" s="111" customFormat="1" ht="25" customHeight="1" spans="1:254">
      <c r="A18" s="120" t="s">
        <v>17</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c r="IR18" s="112"/>
      <c r="IS18" s="112"/>
      <c r="IT18" s="112"/>
    </row>
    <row r="19" s="111" customFormat="1" ht="25" customHeight="1" spans="1:254">
      <c r="A19" s="117" t="s">
        <v>18</v>
      </c>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c r="IR19" s="112"/>
      <c r="IS19" s="112"/>
      <c r="IT19" s="112"/>
    </row>
    <row r="20" s="111" customFormat="1" ht="25" customHeight="1" spans="1:254">
      <c r="A20" s="117" t="s">
        <v>19</v>
      </c>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c r="IR20" s="112"/>
      <c r="IS20" s="112"/>
      <c r="IT20" s="112"/>
    </row>
    <row r="21" s="111" customFormat="1" ht="25" customHeight="1" spans="1:254">
      <c r="A21" s="116" t="s">
        <v>20</v>
      </c>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c r="IR21" s="112"/>
      <c r="IS21" s="112"/>
      <c r="IT21" s="112"/>
    </row>
    <row r="22" s="111" customFormat="1" ht="25" customHeight="1" spans="1:254">
      <c r="A22" s="116" t="s">
        <v>21</v>
      </c>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2"/>
      <c r="IP22" s="112"/>
      <c r="IQ22" s="112"/>
      <c r="IR22" s="112"/>
      <c r="IS22" s="112"/>
      <c r="IT22" s="112"/>
    </row>
    <row r="23" s="111" customFormat="1" ht="25" customHeight="1" spans="1:254">
      <c r="A23" s="117" t="s">
        <v>22</v>
      </c>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2"/>
      <c r="IP23" s="112"/>
      <c r="IQ23" s="112"/>
      <c r="IR23" s="112"/>
      <c r="IS23" s="112"/>
      <c r="IT23" s="112"/>
    </row>
    <row r="24" s="111" customFormat="1" ht="25" customHeight="1" spans="1:254">
      <c r="A24" s="116" t="s">
        <v>23</v>
      </c>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c r="IR24" s="112"/>
      <c r="IS24" s="112"/>
      <c r="IT24" s="112"/>
    </row>
    <row r="25" s="111" customFormat="1" ht="25" customHeight="1" spans="1:254">
      <c r="A25" s="116" t="s">
        <v>24</v>
      </c>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2"/>
      <c r="IP25" s="112"/>
      <c r="IQ25" s="112"/>
      <c r="IR25" s="112"/>
      <c r="IS25" s="112"/>
      <c r="IT25" s="112"/>
    </row>
    <row r="26" s="111" customFormat="1" ht="25" customHeight="1" spans="1:254">
      <c r="A26" s="121" t="s">
        <v>25</v>
      </c>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2"/>
      <c r="IP26" s="112"/>
      <c r="IQ26" s="112"/>
      <c r="IR26" s="112"/>
      <c r="IS26" s="112"/>
      <c r="IT26" s="112"/>
    </row>
    <row r="27" s="111" customFormat="1" ht="25" customHeight="1" spans="1:254">
      <c r="A27" s="119" t="s">
        <v>26</v>
      </c>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c r="IR27" s="112"/>
      <c r="IS27" s="112"/>
      <c r="IT27" s="112"/>
    </row>
    <row r="28" s="111" customFormat="1" ht="25" customHeight="1" spans="1:254">
      <c r="A28" s="122" t="s">
        <v>27</v>
      </c>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row>
    <row r="29" s="111" customFormat="1" ht="25" customHeight="1" spans="1:254">
      <c r="A29" s="123"/>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c r="FG29" s="112"/>
      <c r="FH29" s="112"/>
      <c r="FI29" s="112"/>
      <c r="FJ29" s="112"/>
      <c r="FK29" s="112"/>
      <c r="FL29" s="112"/>
      <c r="FM29" s="112"/>
      <c r="FN29" s="112"/>
      <c r="FO29" s="112"/>
      <c r="FP29" s="112"/>
      <c r="FQ29" s="112"/>
      <c r="FR29" s="112"/>
      <c r="FS29" s="112"/>
      <c r="FT29" s="112"/>
      <c r="FU29" s="112"/>
      <c r="FV29" s="112"/>
      <c r="FW29" s="112"/>
      <c r="FX29" s="112"/>
      <c r="FY29" s="112"/>
      <c r="FZ29" s="112"/>
      <c r="GA29" s="112"/>
      <c r="GB29" s="112"/>
      <c r="GC29" s="112"/>
      <c r="GD29" s="112"/>
      <c r="GE29" s="112"/>
      <c r="GF29" s="112"/>
      <c r="GG29" s="112"/>
      <c r="GH29" s="112"/>
      <c r="GI29" s="112"/>
      <c r="GJ29" s="112"/>
      <c r="GK29" s="112"/>
      <c r="GL29" s="112"/>
      <c r="GM29" s="112"/>
      <c r="GN29" s="112"/>
      <c r="GO29" s="112"/>
      <c r="GP29" s="112"/>
      <c r="GQ29" s="112"/>
      <c r="GR29" s="112"/>
      <c r="GS29" s="112"/>
      <c r="GT29" s="112"/>
      <c r="GU29" s="112"/>
      <c r="GV29" s="112"/>
      <c r="GW29" s="112"/>
      <c r="GX29" s="112"/>
      <c r="GY29" s="112"/>
      <c r="GZ29" s="112"/>
      <c r="HA29" s="112"/>
      <c r="HB29" s="112"/>
      <c r="HC29" s="112"/>
      <c r="HD29" s="112"/>
      <c r="HE29" s="112"/>
      <c r="HF29" s="112"/>
      <c r="HG29" s="112"/>
      <c r="HH29" s="112"/>
      <c r="HI29" s="112"/>
      <c r="HJ29" s="112"/>
      <c r="HK29" s="112"/>
      <c r="HL29" s="112"/>
      <c r="HM29" s="112"/>
      <c r="HN29" s="112"/>
      <c r="HO29" s="112"/>
      <c r="HP29" s="112"/>
      <c r="HQ29" s="112"/>
      <c r="HR29" s="112"/>
      <c r="HS29" s="112"/>
      <c r="HT29" s="112"/>
      <c r="HU29" s="112"/>
      <c r="HV29" s="112"/>
      <c r="HW29" s="112"/>
      <c r="HX29" s="112"/>
      <c r="HY29" s="112"/>
      <c r="HZ29" s="112"/>
      <c r="IA29" s="112"/>
      <c r="IB29" s="112"/>
      <c r="IC29" s="112"/>
      <c r="ID29" s="112"/>
      <c r="IE29" s="112"/>
      <c r="IF29" s="112"/>
      <c r="IG29" s="112"/>
      <c r="IH29" s="112"/>
      <c r="II29" s="112"/>
      <c r="IJ29" s="112"/>
      <c r="IK29" s="112"/>
      <c r="IL29" s="112"/>
      <c r="IM29" s="112"/>
      <c r="IN29" s="112"/>
      <c r="IO29" s="112"/>
      <c r="IP29" s="112"/>
      <c r="IQ29" s="112"/>
      <c r="IR29" s="112"/>
      <c r="IS29" s="112"/>
      <c r="IT29" s="112"/>
    </row>
    <row r="30" s="111" customFormat="1" ht="70" customHeight="1" spans="1:254">
      <c r="A30" s="123"/>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c r="GH30" s="112"/>
      <c r="GI30" s="112"/>
      <c r="GJ30" s="112"/>
      <c r="GK30" s="112"/>
      <c r="GL30" s="112"/>
      <c r="GM30" s="112"/>
      <c r="GN30" s="112"/>
      <c r="GO30" s="112"/>
      <c r="GP30" s="112"/>
      <c r="GQ30" s="112"/>
      <c r="GR30" s="112"/>
      <c r="GS30" s="112"/>
      <c r="GT30" s="112"/>
      <c r="GU30" s="112"/>
      <c r="GV30" s="112"/>
      <c r="GW30" s="112"/>
      <c r="GX30" s="112"/>
      <c r="GY30" s="112"/>
      <c r="GZ30" s="112"/>
      <c r="HA30" s="112"/>
      <c r="HB30" s="112"/>
      <c r="HC30" s="112"/>
      <c r="HD30" s="112"/>
      <c r="HE30" s="112"/>
      <c r="HF30" s="112"/>
      <c r="HG30" s="112"/>
      <c r="HH30" s="112"/>
      <c r="HI30" s="112"/>
      <c r="HJ30" s="112"/>
      <c r="HK30" s="112"/>
      <c r="HL30" s="112"/>
      <c r="HM30" s="112"/>
      <c r="HN30" s="112"/>
      <c r="HO30" s="112"/>
      <c r="HP30" s="112"/>
      <c r="HQ30" s="112"/>
      <c r="HR30" s="112"/>
      <c r="HS30" s="112"/>
      <c r="HT30" s="112"/>
      <c r="HU30" s="112"/>
      <c r="HV30" s="112"/>
      <c r="HW30" s="112"/>
      <c r="HX30" s="112"/>
      <c r="HY30" s="112"/>
      <c r="HZ30" s="112"/>
      <c r="IA30" s="112"/>
      <c r="IB30" s="112"/>
      <c r="IC30" s="112"/>
      <c r="ID30" s="112"/>
      <c r="IE30" s="112"/>
      <c r="IF30" s="112"/>
      <c r="IG30" s="112"/>
      <c r="IH30" s="112"/>
      <c r="II30" s="112"/>
      <c r="IJ30" s="112"/>
      <c r="IK30" s="112"/>
      <c r="IL30" s="112"/>
      <c r="IM30" s="112"/>
      <c r="IN30" s="112"/>
      <c r="IO30" s="112"/>
      <c r="IP30" s="112"/>
      <c r="IQ30" s="112"/>
      <c r="IR30" s="112"/>
      <c r="IS30" s="112"/>
      <c r="IT30" s="112"/>
    </row>
    <row r="31" s="111" customFormat="1" ht="70" customHeight="1" spans="1:254">
      <c r="A31" s="123"/>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c r="ET31" s="112"/>
      <c r="EU31" s="112"/>
      <c r="EV31" s="112"/>
      <c r="EW31" s="112"/>
      <c r="EX31" s="112"/>
      <c r="EY31" s="112"/>
      <c r="EZ31" s="112"/>
      <c r="FA31" s="112"/>
      <c r="FB31" s="112"/>
      <c r="FC31" s="112"/>
      <c r="FD31" s="112"/>
      <c r="FE31" s="112"/>
      <c r="FF31" s="112"/>
      <c r="FG31" s="112"/>
      <c r="FH31" s="112"/>
      <c r="FI31" s="112"/>
      <c r="FJ31" s="112"/>
      <c r="FK31" s="112"/>
      <c r="FL31" s="112"/>
      <c r="FM31" s="112"/>
      <c r="FN31" s="112"/>
      <c r="FO31" s="112"/>
      <c r="FP31" s="112"/>
      <c r="FQ31" s="112"/>
      <c r="FR31" s="112"/>
      <c r="FS31" s="112"/>
      <c r="FT31" s="112"/>
      <c r="FU31" s="112"/>
      <c r="FV31" s="112"/>
      <c r="FW31" s="112"/>
      <c r="FX31" s="112"/>
      <c r="FY31" s="112"/>
      <c r="FZ31" s="112"/>
      <c r="GA31" s="112"/>
      <c r="GB31" s="112"/>
      <c r="GC31" s="112"/>
      <c r="GD31" s="112"/>
      <c r="GE31" s="112"/>
      <c r="GF31" s="112"/>
      <c r="GG31" s="112"/>
      <c r="GH31" s="112"/>
      <c r="GI31" s="112"/>
      <c r="GJ31" s="112"/>
      <c r="GK31" s="112"/>
      <c r="GL31" s="112"/>
      <c r="GM31" s="112"/>
      <c r="GN31" s="112"/>
      <c r="GO31" s="112"/>
      <c r="GP31" s="112"/>
      <c r="GQ31" s="112"/>
      <c r="GR31" s="112"/>
      <c r="GS31" s="112"/>
      <c r="GT31" s="112"/>
      <c r="GU31" s="112"/>
      <c r="GV31" s="112"/>
      <c r="GW31" s="112"/>
      <c r="GX31" s="112"/>
      <c r="GY31" s="112"/>
      <c r="GZ31" s="112"/>
      <c r="HA31" s="112"/>
      <c r="HB31" s="112"/>
      <c r="HC31" s="112"/>
      <c r="HD31" s="112"/>
      <c r="HE31" s="112"/>
      <c r="HF31" s="112"/>
      <c r="HG31" s="112"/>
      <c r="HH31" s="112"/>
      <c r="HI31" s="112"/>
      <c r="HJ31" s="112"/>
      <c r="HK31" s="112"/>
      <c r="HL31" s="112"/>
      <c r="HM31" s="112"/>
      <c r="HN31" s="112"/>
      <c r="HO31" s="112"/>
      <c r="HP31" s="112"/>
      <c r="HQ31" s="112"/>
      <c r="HR31" s="112"/>
      <c r="HS31" s="112"/>
      <c r="HT31" s="112"/>
      <c r="HU31" s="112"/>
      <c r="HV31" s="112"/>
      <c r="HW31" s="112"/>
      <c r="HX31" s="112"/>
      <c r="HY31" s="112"/>
      <c r="HZ31" s="112"/>
      <c r="IA31" s="112"/>
      <c r="IB31" s="112"/>
      <c r="IC31" s="112"/>
      <c r="ID31" s="112"/>
      <c r="IE31" s="112"/>
      <c r="IF31" s="112"/>
      <c r="IG31" s="112"/>
      <c r="IH31" s="112"/>
      <c r="II31" s="112"/>
      <c r="IJ31" s="112"/>
      <c r="IK31" s="112"/>
      <c r="IL31" s="112"/>
      <c r="IM31" s="112"/>
      <c r="IN31" s="112"/>
      <c r="IO31" s="112"/>
      <c r="IP31" s="112"/>
      <c r="IQ31" s="112"/>
      <c r="IR31" s="112"/>
      <c r="IS31" s="112"/>
      <c r="IT31" s="112"/>
    </row>
    <row r="32" s="111" customFormat="1" ht="32" customHeight="1" spans="1:254">
      <c r="A32" s="120" t="s">
        <v>28</v>
      </c>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2"/>
      <c r="FG32" s="112"/>
      <c r="FH32" s="112"/>
      <c r="FI32" s="112"/>
      <c r="FJ32" s="112"/>
      <c r="FK32" s="112"/>
      <c r="FL32" s="112"/>
      <c r="FM32" s="112"/>
      <c r="FN32" s="112"/>
      <c r="FO32" s="112"/>
      <c r="FP32" s="112"/>
      <c r="FQ32" s="112"/>
      <c r="FR32" s="112"/>
      <c r="FS32" s="112"/>
      <c r="FT32" s="112"/>
      <c r="FU32" s="112"/>
      <c r="FV32" s="112"/>
      <c r="FW32" s="112"/>
      <c r="FX32" s="112"/>
      <c r="FY32" s="112"/>
      <c r="FZ32" s="112"/>
      <c r="GA32" s="112"/>
      <c r="GB32" s="112"/>
      <c r="GC32" s="112"/>
      <c r="GD32" s="112"/>
      <c r="GE32" s="112"/>
      <c r="GF32" s="112"/>
      <c r="GG32" s="112"/>
      <c r="GH32" s="112"/>
      <c r="GI32" s="112"/>
      <c r="GJ32" s="112"/>
      <c r="GK32" s="112"/>
      <c r="GL32" s="112"/>
      <c r="GM32" s="112"/>
      <c r="GN32" s="112"/>
      <c r="GO32" s="112"/>
      <c r="GP32" s="112"/>
      <c r="GQ32" s="112"/>
      <c r="GR32" s="112"/>
      <c r="GS32" s="112"/>
      <c r="GT32" s="112"/>
      <c r="GU32" s="112"/>
      <c r="GV32" s="112"/>
      <c r="GW32" s="112"/>
      <c r="GX32" s="112"/>
      <c r="GY32" s="112"/>
      <c r="GZ32" s="112"/>
      <c r="HA32" s="112"/>
      <c r="HB32" s="112"/>
      <c r="HC32" s="112"/>
      <c r="HD32" s="112"/>
      <c r="HE32" s="112"/>
      <c r="HF32" s="112"/>
      <c r="HG32" s="112"/>
      <c r="HH32" s="112"/>
      <c r="HI32" s="112"/>
      <c r="HJ32" s="112"/>
      <c r="HK32" s="112"/>
      <c r="HL32" s="112"/>
      <c r="HM32" s="112"/>
      <c r="HN32" s="112"/>
      <c r="HO32" s="112"/>
      <c r="HP32" s="112"/>
      <c r="HQ32" s="112"/>
      <c r="HR32" s="112"/>
      <c r="HS32" s="112"/>
      <c r="HT32" s="112"/>
      <c r="HU32" s="112"/>
      <c r="HV32" s="112"/>
      <c r="HW32" s="112"/>
      <c r="HX32" s="112"/>
      <c r="HY32" s="112"/>
      <c r="HZ32" s="112"/>
      <c r="IA32" s="112"/>
      <c r="IB32" s="112"/>
      <c r="IC32" s="112"/>
      <c r="ID32" s="112"/>
      <c r="IE32" s="112"/>
      <c r="IF32" s="112"/>
      <c r="IG32" s="112"/>
      <c r="IH32" s="112"/>
      <c r="II32" s="112"/>
      <c r="IJ32" s="112"/>
      <c r="IK32" s="112"/>
      <c r="IL32" s="112"/>
      <c r="IM32" s="112"/>
      <c r="IN32" s="112"/>
      <c r="IO32" s="112"/>
      <c r="IP32" s="112"/>
      <c r="IQ32" s="112"/>
      <c r="IR32" s="112"/>
      <c r="IS32" s="112"/>
      <c r="IT32" s="112"/>
    </row>
    <row r="33" s="111" customFormat="1" ht="25" customHeight="1" spans="1:254">
      <c r="A33" s="124" t="s">
        <v>29</v>
      </c>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2"/>
      <c r="FG33" s="112"/>
      <c r="FH33" s="112"/>
      <c r="FI33" s="112"/>
      <c r="FJ33" s="112"/>
      <c r="FK33" s="112"/>
      <c r="FL33" s="112"/>
      <c r="FM33" s="112"/>
      <c r="FN33" s="112"/>
      <c r="FO33" s="112"/>
      <c r="FP33" s="112"/>
      <c r="FQ33" s="112"/>
      <c r="FR33" s="112"/>
      <c r="FS33" s="112"/>
      <c r="FT33" s="112"/>
      <c r="FU33" s="112"/>
      <c r="FV33" s="112"/>
      <c r="FW33" s="112"/>
      <c r="FX33" s="112"/>
      <c r="FY33" s="112"/>
      <c r="FZ33" s="112"/>
      <c r="GA33" s="112"/>
      <c r="GB33" s="112"/>
      <c r="GC33" s="112"/>
      <c r="GD33" s="112"/>
      <c r="GE33" s="112"/>
      <c r="GF33" s="112"/>
      <c r="GG33" s="112"/>
      <c r="GH33" s="112"/>
      <c r="GI33" s="112"/>
      <c r="GJ33" s="112"/>
      <c r="GK33" s="112"/>
      <c r="GL33" s="112"/>
      <c r="GM33" s="112"/>
      <c r="GN33" s="112"/>
      <c r="GO33" s="112"/>
      <c r="GP33" s="112"/>
      <c r="GQ33" s="112"/>
      <c r="GR33" s="112"/>
      <c r="GS33" s="112"/>
      <c r="GT33" s="112"/>
      <c r="GU33" s="112"/>
      <c r="GV33" s="112"/>
      <c r="GW33" s="112"/>
      <c r="GX33" s="112"/>
      <c r="GY33" s="112"/>
      <c r="GZ33" s="112"/>
      <c r="HA33" s="112"/>
      <c r="HB33" s="112"/>
      <c r="HC33" s="112"/>
      <c r="HD33" s="112"/>
      <c r="HE33" s="112"/>
      <c r="HF33" s="112"/>
      <c r="HG33" s="112"/>
      <c r="HH33" s="112"/>
      <c r="HI33" s="112"/>
      <c r="HJ33" s="112"/>
      <c r="HK33" s="112"/>
      <c r="HL33" s="112"/>
      <c r="HM33" s="112"/>
      <c r="HN33" s="112"/>
      <c r="HO33" s="112"/>
      <c r="HP33" s="112"/>
      <c r="HQ33" s="112"/>
      <c r="HR33" s="112"/>
      <c r="HS33" s="112"/>
      <c r="HT33" s="112"/>
      <c r="HU33" s="112"/>
      <c r="HV33" s="112"/>
      <c r="HW33" s="112"/>
      <c r="HX33" s="112"/>
      <c r="HY33" s="112"/>
      <c r="HZ33" s="112"/>
      <c r="IA33" s="112"/>
      <c r="IB33" s="112"/>
      <c r="IC33" s="112"/>
      <c r="ID33" s="112"/>
      <c r="IE33" s="112"/>
      <c r="IF33" s="112"/>
      <c r="IG33" s="112"/>
      <c r="IH33" s="112"/>
      <c r="II33" s="112"/>
      <c r="IJ33" s="112"/>
      <c r="IK33" s="112"/>
      <c r="IL33" s="112"/>
      <c r="IM33" s="112"/>
      <c r="IN33" s="112"/>
      <c r="IO33" s="112"/>
      <c r="IP33" s="112"/>
      <c r="IQ33" s="112"/>
      <c r="IR33" s="112"/>
      <c r="IS33" s="112"/>
      <c r="IT33" s="112"/>
    </row>
    <row r="34" s="111" customFormat="1" ht="25" customHeight="1" spans="1:254">
      <c r="A34" s="120" t="s">
        <v>30</v>
      </c>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2"/>
      <c r="FL34" s="112"/>
      <c r="FM34" s="112"/>
      <c r="FN34" s="112"/>
      <c r="FO34" s="112"/>
      <c r="FP34" s="112"/>
      <c r="FQ34" s="112"/>
      <c r="FR34" s="112"/>
      <c r="FS34" s="112"/>
      <c r="FT34" s="112"/>
      <c r="FU34" s="112"/>
      <c r="FV34" s="112"/>
      <c r="FW34" s="112"/>
      <c r="FX34" s="112"/>
      <c r="FY34" s="112"/>
      <c r="FZ34" s="112"/>
      <c r="GA34" s="112"/>
      <c r="GB34" s="112"/>
      <c r="GC34" s="112"/>
      <c r="GD34" s="112"/>
      <c r="GE34" s="112"/>
      <c r="GF34" s="112"/>
      <c r="GG34" s="112"/>
      <c r="GH34" s="112"/>
      <c r="GI34" s="112"/>
      <c r="GJ34" s="112"/>
      <c r="GK34" s="112"/>
      <c r="GL34" s="112"/>
      <c r="GM34" s="112"/>
      <c r="GN34" s="112"/>
      <c r="GO34" s="112"/>
      <c r="GP34" s="112"/>
      <c r="GQ34" s="112"/>
      <c r="GR34" s="112"/>
      <c r="GS34" s="112"/>
      <c r="GT34" s="112"/>
      <c r="GU34" s="112"/>
      <c r="GV34" s="112"/>
      <c r="GW34" s="112"/>
      <c r="GX34" s="112"/>
      <c r="GY34" s="112"/>
      <c r="GZ34" s="112"/>
      <c r="HA34" s="112"/>
      <c r="HB34" s="112"/>
      <c r="HC34" s="112"/>
      <c r="HD34" s="112"/>
      <c r="HE34" s="112"/>
      <c r="HF34" s="112"/>
      <c r="HG34" s="112"/>
      <c r="HH34" s="112"/>
      <c r="HI34" s="112"/>
      <c r="HJ34" s="112"/>
      <c r="HK34" s="112"/>
      <c r="HL34" s="112"/>
      <c r="HM34" s="112"/>
      <c r="HN34" s="112"/>
      <c r="HO34" s="112"/>
      <c r="HP34" s="112"/>
      <c r="HQ34" s="112"/>
      <c r="HR34" s="112"/>
      <c r="HS34" s="112"/>
      <c r="HT34" s="112"/>
      <c r="HU34" s="112"/>
      <c r="HV34" s="112"/>
      <c r="HW34" s="112"/>
      <c r="HX34" s="112"/>
      <c r="HY34" s="112"/>
      <c r="HZ34" s="112"/>
      <c r="IA34" s="112"/>
      <c r="IB34" s="112"/>
      <c r="IC34" s="112"/>
      <c r="ID34" s="112"/>
      <c r="IE34" s="112"/>
      <c r="IF34" s="112"/>
      <c r="IG34" s="112"/>
      <c r="IH34" s="112"/>
      <c r="II34" s="112"/>
      <c r="IJ34" s="112"/>
      <c r="IK34" s="112"/>
      <c r="IL34" s="112"/>
      <c r="IM34" s="112"/>
      <c r="IN34" s="112"/>
      <c r="IO34" s="112"/>
      <c r="IP34" s="112"/>
      <c r="IQ34" s="112"/>
      <c r="IR34" s="112"/>
      <c r="IS34" s="112"/>
      <c r="IT34" s="112"/>
    </row>
    <row r="35" s="111" customFormat="1" ht="25" customHeight="1" spans="1:254">
      <c r="A35" s="120" t="s">
        <v>31</v>
      </c>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c r="FG35" s="112"/>
      <c r="FH35" s="112"/>
      <c r="FI35" s="112"/>
      <c r="FJ35" s="112"/>
      <c r="FK35" s="112"/>
      <c r="FL35" s="112"/>
      <c r="FM35" s="112"/>
      <c r="FN35" s="112"/>
      <c r="FO35" s="112"/>
      <c r="FP35" s="112"/>
      <c r="FQ35" s="112"/>
      <c r="FR35" s="112"/>
      <c r="FS35" s="112"/>
      <c r="FT35" s="112"/>
      <c r="FU35" s="112"/>
      <c r="FV35" s="112"/>
      <c r="FW35" s="112"/>
      <c r="FX35" s="112"/>
      <c r="FY35" s="112"/>
      <c r="FZ35" s="112"/>
      <c r="GA35" s="112"/>
      <c r="GB35" s="112"/>
      <c r="GC35" s="112"/>
      <c r="GD35" s="112"/>
      <c r="GE35" s="112"/>
      <c r="GF35" s="112"/>
      <c r="GG35" s="112"/>
      <c r="GH35" s="112"/>
      <c r="GI35" s="112"/>
      <c r="GJ35" s="112"/>
      <c r="GK35" s="112"/>
      <c r="GL35" s="112"/>
      <c r="GM35" s="112"/>
      <c r="GN35" s="112"/>
      <c r="GO35" s="112"/>
      <c r="GP35" s="112"/>
      <c r="GQ35" s="112"/>
      <c r="GR35" s="112"/>
      <c r="GS35" s="112"/>
      <c r="GT35" s="112"/>
      <c r="GU35" s="112"/>
      <c r="GV35" s="112"/>
      <c r="GW35" s="112"/>
      <c r="GX35" s="112"/>
      <c r="GY35" s="112"/>
      <c r="GZ35" s="112"/>
      <c r="HA35" s="112"/>
      <c r="HB35" s="112"/>
      <c r="HC35" s="112"/>
      <c r="HD35" s="112"/>
      <c r="HE35" s="112"/>
      <c r="HF35" s="112"/>
      <c r="HG35" s="112"/>
      <c r="HH35" s="112"/>
      <c r="HI35" s="112"/>
      <c r="HJ35" s="112"/>
      <c r="HK35" s="112"/>
      <c r="HL35" s="112"/>
      <c r="HM35" s="112"/>
      <c r="HN35" s="112"/>
      <c r="HO35" s="112"/>
      <c r="HP35" s="112"/>
      <c r="HQ35" s="112"/>
      <c r="HR35" s="112"/>
      <c r="HS35" s="112"/>
      <c r="HT35" s="112"/>
      <c r="HU35" s="112"/>
      <c r="HV35" s="112"/>
      <c r="HW35" s="112"/>
      <c r="HX35" s="112"/>
      <c r="HY35" s="112"/>
      <c r="HZ35" s="112"/>
      <c r="IA35" s="112"/>
      <c r="IB35" s="112"/>
      <c r="IC35" s="112"/>
      <c r="ID35" s="112"/>
      <c r="IE35" s="112"/>
      <c r="IF35" s="112"/>
      <c r="IG35" s="112"/>
      <c r="IH35" s="112"/>
      <c r="II35" s="112"/>
      <c r="IJ35" s="112"/>
      <c r="IK35" s="112"/>
      <c r="IL35" s="112"/>
      <c r="IM35" s="112"/>
      <c r="IN35" s="112"/>
      <c r="IO35" s="112"/>
      <c r="IP35" s="112"/>
      <c r="IQ35" s="112"/>
      <c r="IR35" s="112"/>
      <c r="IS35" s="112"/>
      <c r="IT35" s="112"/>
    </row>
    <row r="36" s="111" customFormat="1" ht="25" customHeight="1" spans="1:254">
      <c r="A36" s="120" t="s">
        <v>32</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c r="FG36" s="112"/>
      <c r="FH36" s="112"/>
      <c r="FI36" s="112"/>
      <c r="FJ36" s="112"/>
      <c r="FK36" s="112"/>
      <c r="FL36" s="112"/>
      <c r="FM36" s="112"/>
      <c r="FN36" s="112"/>
      <c r="FO36" s="112"/>
      <c r="FP36" s="112"/>
      <c r="FQ36" s="112"/>
      <c r="FR36" s="112"/>
      <c r="FS36" s="112"/>
      <c r="FT36" s="112"/>
      <c r="FU36" s="112"/>
      <c r="FV36" s="112"/>
      <c r="FW36" s="112"/>
      <c r="FX36" s="112"/>
      <c r="FY36" s="112"/>
      <c r="FZ36" s="112"/>
      <c r="GA36" s="112"/>
      <c r="GB36" s="112"/>
      <c r="GC36" s="112"/>
      <c r="GD36" s="112"/>
      <c r="GE36" s="112"/>
      <c r="GF36" s="112"/>
      <c r="GG36" s="112"/>
      <c r="GH36" s="112"/>
      <c r="GI36" s="112"/>
      <c r="GJ36" s="112"/>
      <c r="GK36" s="112"/>
      <c r="GL36" s="112"/>
      <c r="GM36" s="112"/>
      <c r="GN36" s="112"/>
      <c r="GO36" s="112"/>
      <c r="GP36" s="112"/>
      <c r="GQ36" s="112"/>
      <c r="GR36" s="112"/>
      <c r="GS36" s="112"/>
      <c r="GT36" s="112"/>
      <c r="GU36" s="112"/>
      <c r="GV36" s="112"/>
      <c r="GW36" s="112"/>
      <c r="GX36" s="112"/>
      <c r="GY36" s="112"/>
      <c r="GZ36" s="112"/>
      <c r="HA36" s="112"/>
      <c r="HB36" s="112"/>
      <c r="HC36" s="112"/>
      <c r="HD36" s="112"/>
      <c r="HE36" s="112"/>
      <c r="HF36" s="112"/>
      <c r="HG36" s="112"/>
      <c r="HH36" s="112"/>
      <c r="HI36" s="112"/>
      <c r="HJ36" s="112"/>
      <c r="HK36" s="112"/>
      <c r="HL36" s="112"/>
      <c r="HM36" s="112"/>
      <c r="HN36" s="112"/>
      <c r="HO36" s="112"/>
      <c r="HP36" s="112"/>
      <c r="HQ36" s="112"/>
      <c r="HR36" s="112"/>
      <c r="HS36" s="112"/>
      <c r="HT36" s="112"/>
      <c r="HU36" s="112"/>
      <c r="HV36" s="112"/>
      <c r="HW36" s="112"/>
      <c r="HX36" s="112"/>
      <c r="HY36" s="112"/>
      <c r="HZ36" s="112"/>
      <c r="IA36" s="112"/>
      <c r="IB36" s="112"/>
      <c r="IC36" s="112"/>
      <c r="ID36" s="112"/>
      <c r="IE36" s="112"/>
      <c r="IF36" s="112"/>
      <c r="IG36" s="112"/>
      <c r="IH36" s="112"/>
      <c r="II36" s="112"/>
      <c r="IJ36" s="112"/>
      <c r="IK36" s="112"/>
      <c r="IL36" s="112"/>
      <c r="IM36" s="112"/>
      <c r="IN36" s="112"/>
      <c r="IO36" s="112"/>
      <c r="IP36" s="112"/>
      <c r="IQ36" s="112"/>
      <c r="IR36" s="112"/>
      <c r="IS36" s="112"/>
      <c r="IT36" s="112"/>
    </row>
    <row r="37" s="112" customFormat="1" ht="25" customHeight="1" spans="1:1">
      <c r="A37" s="120" t="s">
        <v>33</v>
      </c>
    </row>
    <row r="38" customFormat="1" ht="25" customHeight="1" spans="1:254">
      <c r="A38" s="120" t="s">
        <v>34</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2"/>
      <c r="GU38" s="112"/>
      <c r="GV38" s="112"/>
      <c r="GW38" s="112"/>
      <c r="GX38" s="112"/>
      <c r="GY38" s="112"/>
      <c r="GZ38" s="112"/>
      <c r="HA38" s="112"/>
      <c r="HB38" s="112"/>
      <c r="HC38" s="112"/>
      <c r="HD38" s="112"/>
      <c r="HE38" s="112"/>
      <c r="HF38" s="112"/>
      <c r="HG38" s="112"/>
      <c r="HH38" s="112"/>
      <c r="HI38" s="112"/>
      <c r="HJ38" s="112"/>
      <c r="HK38" s="112"/>
      <c r="HL38" s="112"/>
      <c r="HM38" s="112"/>
      <c r="HN38" s="112"/>
      <c r="HO38" s="112"/>
      <c r="HP38" s="112"/>
      <c r="HQ38" s="112"/>
      <c r="HR38" s="112"/>
      <c r="HS38" s="112"/>
      <c r="HT38" s="112"/>
      <c r="HU38" s="112"/>
      <c r="HV38" s="112"/>
      <c r="HW38" s="112"/>
      <c r="HX38" s="112"/>
      <c r="HY38" s="112"/>
      <c r="HZ38" s="112"/>
      <c r="IA38" s="112"/>
      <c r="IB38" s="112"/>
      <c r="IC38" s="112"/>
      <c r="ID38" s="112"/>
      <c r="IE38" s="112"/>
      <c r="IF38" s="112"/>
      <c r="IG38" s="112"/>
      <c r="IH38" s="112"/>
      <c r="II38" s="112"/>
      <c r="IJ38" s="112"/>
      <c r="IK38" s="112"/>
      <c r="IL38" s="112"/>
      <c r="IM38" s="112"/>
      <c r="IN38" s="112"/>
      <c r="IO38" s="112"/>
      <c r="IP38" s="112"/>
      <c r="IQ38" s="112"/>
      <c r="IR38" s="112"/>
      <c r="IS38" s="112"/>
      <c r="IT38" s="112"/>
    </row>
    <row r="39" s="113" customFormat="1" ht="27" customHeight="1" spans="1:1">
      <c r="A39" s="120" t="s">
        <v>35</v>
      </c>
    </row>
    <row r="40" s="113" customFormat="1" ht="25" customHeight="1" spans="1:254">
      <c r="A40" s="120" t="s">
        <v>36</v>
      </c>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2"/>
      <c r="GU40" s="112"/>
      <c r="GV40" s="112"/>
      <c r="GW40" s="112"/>
      <c r="GX40" s="112"/>
      <c r="GY40" s="112"/>
      <c r="GZ40" s="112"/>
      <c r="HA40" s="112"/>
      <c r="HB40" s="112"/>
      <c r="HC40" s="112"/>
      <c r="HD40" s="112"/>
      <c r="HE40" s="112"/>
      <c r="HF40" s="112"/>
      <c r="HG40" s="112"/>
      <c r="HH40" s="112"/>
      <c r="HI40" s="112"/>
      <c r="HJ40" s="112"/>
      <c r="HK40" s="112"/>
      <c r="HL40" s="112"/>
      <c r="HM40" s="112"/>
      <c r="HN40" s="112"/>
      <c r="HO40" s="112"/>
      <c r="HP40" s="112"/>
      <c r="HQ40" s="112"/>
      <c r="HR40" s="112"/>
      <c r="HS40" s="112"/>
      <c r="HT40" s="112"/>
      <c r="HU40" s="112"/>
      <c r="HV40" s="112"/>
      <c r="HW40" s="112"/>
      <c r="HX40" s="112"/>
      <c r="HY40" s="112"/>
      <c r="HZ40" s="112"/>
      <c r="IA40" s="112"/>
      <c r="IB40" s="112"/>
      <c r="IC40" s="112"/>
      <c r="ID40" s="112"/>
      <c r="IE40" s="112"/>
      <c r="IF40" s="112"/>
      <c r="IG40" s="112"/>
      <c r="IH40" s="112"/>
      <c r="II40" s="112"/>
      <c r="IJ40" s="112"/>
      <c r="IK40" s="112"/>
      <c r="IL40" s="112"/>
      <c r="IM40" s="112"/>
      <c r="IN40" s="112"/>
      <c r="IO40" s="112"/>
      <c r="IP40" s="112"/>
      <c r="IQ40" s="112"/>
      <c r="IR40" s="112"/>
      <c r="IS40" s="112"/>
      <c r="IT40" s="112"/>
    </row>
  </sheetData>
  <mergeCells count="1">
    <mergeCell ref="A28:A31"/>
  </mergeCells>
  <dataValidations count="1">
    <dataValidation type="list" allowBlank="1" showInputMessage="1" showErrorMessage="1" sqref="IS65480:IT65482" errorStyle="information">
      <formula1>"25,26,27"</formula1>
    </dataValidation>
  </dataValidations>
  <printOptions horizontalCentered="1"/>
  <pageMargins left="0" right="0" top="0.393055555555556" bottom="0.393055555555556"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view="pageBreakPreview" zoomScale="150" zoomScaleNormal="115" workbookViewId="0">
      <pane ySplit="2" topLeftCell="A3" activePane="bottomLeft" state="frozen"/>
      <selection/>
      <selection pane="bottomLeft" activeCell="D7" sqref="D7"/>
    </sheetView>
  </sheetViews>
  <sheetFormatPr defaultColWidth="9" defaultRowHeight="12" outlineLevelCol="6"/>
  <cols>
    <col min="1" max="1" width="5.62727272727273" style="8" customWidth="1"/>
    <col min="2" max="2" width="15.6272727272727" style="8" customWidth="1"/>
    <col min="3" max="7" width="10.6272727272727" style="8" customWidth="1"/>
    <col min="8" max="16384" width="9" style="97"/>
  </cols>
  <sheetData>
    <row r="1" ht="30" customHeight="1" spans="1:7">
      <c r="A1" s="98" t="s">
        <v>37</v>
      </c>
      <c r="B1" s="98"/>
      <c r="C1" s="98"/>
      <c r="D1" s="98"/>
      <c r="E1" s="98"/>
      <c r="F1" s="98"/>
      <c r="G1" s="98"/>
    </row>
    <row r="2" ht="36" customHeight="1" spans="1:7">
      <c r="A2" s="99" t="s">
        <v>38</v>
      </c>
      <c r="B2" s="99" t="s">
        <v>39</v>
      </c>
      <c r="C2" s="99" t="s">
        <v>40</v>
      </c>
      <c r="D2" s="100" t="s">
        <v>41</v>
      </c>
      <c r="E2" s="100" t="s">
        <v>42</v>
      </c>
      <c r="F2" s="100" t="s">
        <v>43</v>
      </c>
      <c r="G2" s="99" t="s">
        <v>44</v>
      </c>
    </row>
    <row r="3" ht="36" customHeight="1" spans="1:7">
      <c r="A3" s="101">
        <v>1</v>
      </c>
      <c r="B3" s="102" t="s">
        <v>45</v>
      </c>
      <c r="C3" s="103" t="s">
        <v>46</v>
      </c>
      <c r="D3" s="104">
        <v>26478.34</v>
      </c>
      <c r="E3" s="105">
        <f>'体育馆-地上'!L122</f>
        <v>0</v>
      </c>
      <c r="F3" s="104">
        <f>+E3/D3</f>
        <v>0</v>
      </c>
      <c r="G3" s="106" t="s">
        <v>47</v>
      </c>
    </row>
    <row r="4" s="96" customFormat="1" ht="31.95" customHeight="1" spans="1:7">
      <c r="A4" s="107"/>
      <c r="B4" s="108" t="s">
        <v>48</v>
      </c>
      <c r="C4" s="109"/>
      <c r="D4" s="110">
        <f>SUM(D3:D3)</f>
        <v>26478.34</v>
      </c>
      <c r="E4" s="110">
        <f>SUM(E3:E3)</f>
        <v>0</v>
      </c>
      <c r="F4" s="110">
        <f>E4/D4</f>
        <v>0</v>
      </c>
      <c r="G4" s="107"/>
    </row>
    <row r="5" ht="19.95" customHeight="1"/>
    <row r="6" ht="19.95" customHeight="1"/>
    <row r="7" ht="19.95" customHeight="1"/>
    <row r="8" ht="19.95" customHeight="1"/>
    <row r="9" ht="19.95" customHeight="1"/>
    <row r="10" ht="19.95" customHeight="1"/>
    <row r="11" ht="19.95" customHeight="1"/>
    <row r="12" ht="19.95" customHeight="1"/>
    <row r="13" ht="19.95" customHeight="1"/>
    <row r="14" ht="19.95" customHeight="1"/>
    <row r="15" ht="19.95" customHeight="1"/>
    <row r="16" ht="19.95" customHeight="1"/>
    <row r="17" ht="19.95" customHeight="1"/>
  </sheetData>
  <mergeCells count="2">
    <mergeCell ref="A1:G1"/>
    <mergeCell ref="B4:C4"/>
  </mergeCells>
  <printOptions horizontalCentered="1"/>
  <pageMargins left="0.393055555555556" right="0.393055555555556" top="0.393055555555556" bottom="0.393055555555556" header="0.5" footer="0.5"/>
  <pageSetup paperSize="9" scale="8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2"/>
  <sheetViews>
    <sheetView view="pageBreakPreview" zoomScale="90" zoomScaleNormal="100" workbookViewId="0">
      <pane ySplit="4" topLeftCell="A24" activePane="bottomLeft" state="frozen"/>
      <selection/>
      <selection pane="bottomLeft" activeCell="H84" sqref="H84"/>
    </sheetView>
  </sheetViews>
  <sheetFormatPr defaultColWidth="9" defaultRowHeight="12"/>
  <cols>
    <col min="1" max="1" width="5.62727272727273" style="8" customWidth="1"/>
    <col min="2" max="2" width="15.6272727272727" style="8" customWidth="1"/>
    <col min="3" max="3" width="30.1272727272727" style="9" customWidth="1"/>
    <col min="4" max="4" width="15.6272727272727" style="8" customWidth="1"/>
    <col min="5" max="5" width="5.62727272727273" style="8" customWidth="1"/>
    <col min="6" max="12" width="10.6272727272727" style="8" customWidth="1"/>
    <col min="13" max="13" width="28" style="9" customWidth="1"/>
    <col min="14" max="16" width="9" style="8"/>
    <col min="17" max="17" width="9.62727272727273" style="8"/>
    <col min="18" max="16384" width="9" style="8"/>
  </cols>
  <sheetData>
    <row r="1" ht="30" customHeight="1" spans="1:13">
      <c r="A1" s="10" t="s">
        <v>49</v>
      </c>
      <c r="B1" s="10"/>
      <c r="C1" s="11"/>
      <c r="D1" s="10"/>
      <c r="E1" s="10"/>
      <c r="F1" s="10"/>
      <c r="G1" s="10"/>
      <c r="H1" s="10"/>
      <c r="I1" s="10"/>
      <c r="J1" s="10"/>
      <c r="K1" s="10"/>
      <c r="L1" s="10"/>
      <c r="M1" s="11"/>
    </row>
    <row r="2" ht="20" customHeight="1" spans="1:13">
      <c r="A2" s="12" t="s">
        <v>38</v>
      </c>
      <c r="B2" s="12" t="s">
        <v>50</v>
      </c>
      <c r="C2" s="12" t="s">
        <v>51</v>
      </c>
      <c r="D2" s="12" t="s">
        <v>52</v>
      </c>
      <c r="E2" s="12" t="s">
        <v>53</v>
      </c>
      <c r="F2" s="12" t="s">
        <v>54</v>
      </c>
      <c r="G2" s="12" t="s">
        <v>55</v>
      </c>
      <c r="H2" s="13"/>
      <c r="I2" s="12"/>
      <c r="J2" s="48"/>
      <c r="K2" s="48" t="s">
        <v>56</v>
      </c>
      <c r="L2" s="48" t="s">
        <v>57</v>
      </c>
      <c r="M2" s="12" t="s">
        <v>58</v>
      </c>
    </row>
    <row r="3" ht="15" customHeight="1" spans="1:13">
      <c r="A3" s="12"/>
      <c r="B3" s="12"/>
      <c r="C3" s="12"/>
      <c r="D3" s="12"/>
      <c r="E3" s="12"/>
      <c r="F3" s="12"/>
      <c r="G3" s="12" t="s">
        <v>59</v>
      </c>
      <c r="H3" s="12" t="s">
        <v>60</v>
      </c>
      <c r="I3" s="48" t="s">
        <v>61</v>
      </c>
      <c r="J3" s="48" t="s">
        <v>62</v>
      </c>
      <c r="K3" s="48"/>
      <c r="L3" s="48"/>
      <c r="M3" s="12"/>
    </row>
    <row r="4" ht="15" customHeight="1" spans="1:13">
      <c r="A4" s="12"/>
      <c r="B4" s="12"/>
      <c r="C4" s="12"/>
      <c r="D4" s="12"/>
      <c r="E4" s="12"/>
      <c r="F4" s="12"/>
      <c r="G4" s="12"/>
      <c r="H4" s="12"/>
      <c r="I4" s="49"/>
      <c r="J4" s="49">
        <v>0.03</v>
      </c>
      <c r="K4" s="48"/>
      <c r="L4" s="48"/>
      <c r="M4" s="12"/>
    </row>
    <row r="5" s="2" customFormat="1" ht="25" customHeight="1" spans="1:13">
      <c r="A5" s="17" t="s">
        <v>63</v>
      </c>
      <c r="B5" s="17" t="s">
        <v>64</v>
      </c>
      <c r="C5" s="18"/>
      <c r="D5" s="19"/>
      <c r="E5" s="19"/>
      <c r="F5" s="19"/>
      <c r="G5" s="20"/>
      <c r="H5" s="21"/>
      <c r="I5" s="21"/>
      <c r="J5" s="21"/>
      <c r="K5" s="21"/>
      <c r="L5" s="52"/>
      <c r="M5" s="53"/>
    </row>
    <row r="6" s="2" customFormat="1" ht="48" spans="1:13">
      <c r="A6" s="22">
        <v>1</v>
      </c>
      <c r="B6" s="23" t="s">
        <v>65</v>
      </c>
      <c r="C6" s="24" t="s">
        <v>66</v>
      </c>
      <c r="D6" s="25" t="s">
        <v>67</v>
      </c>
      <c r="E6" s="26" t="s">
        <v>68</v>
      </c>
      <c r="F6" s="27">
        <f>(15.3+10.5+8.2*2+6.15)*3</f>
        <v>145.05</v>
      </c>
      <c r="G6" s="28"/>
      <c r="H6" s="28"/>
      <c r="I6" s="52"/>
      <c r="J6" s="52"/>
      <c r="K6" s="52"/>
      <c r="L6" s="52"/>
      <c r="M6" s="54" t="s">
        <v>69</v>
      </c>
    </row>
    <row r="7" s="3" customFormat="1" ht="108" outlineLevel="1" spans="1:13">
      <c r="A7" s="22">
        <v>2</v>
      </c>
      <c r="B7" s="23" t="s">
        <v>70</v>
      </c>
      <c r="C7" s="24" t="s">
        <v>71</v>
      </c>
      <c r="D7" s="25" t="s">
        <v>67</v>
      </c>
      <c r="E7" s="26" t="s">
        <v>68</v>
      </c>
      <c r="F7" s="27">
        <f>111.28+334.02+47.2+90.62+50.05+228.18+147+473.8+743-32*3+30+125.9+28.73+11.04+149.17+83.5</f>
        <v>2557.49</v>
      </c>
      <c r="G7" s="28"/>
      <c r="H7" s="28"/>
      <c r="I7" s="52"/>
      <c r="J7" s="52"/>
      <c r="K7" s="52"/>
      <c r="L7" s="52"/>
      <c r="M7" s="55"/>
    </row>
    <row r="8" s="3" customFormat="1" ht="95" customHeight="1" outlineLevel="1" spans="1:13">
      <c r="A8" s="22">
        <v>3</v>
      </c>
      <c r="B8" s="23" t="s">
        <v>72</v>
      </c>
      <c r="C8" s="24" t="s">
        <v>73</v>
      </c>
      <c r="D8" s="25" t="s">
        <v>67</v>
      </c>
      <c r="E8" s="26" t="s">
        <v>68</v>
      </c>
      <c r="F8" s="27">
        <f>144.74+74.15+89.68+99.2</f>
        <v>407.77</v>
      </c>
      <c r="G8" s="28"/>
      <c r="H8" s="28"/>
      <c r="I8" s="52"/>
      <c r="J8" s="52"/>
      <c r="K8" s="52"/>
      <c r="L8" s="52"/>
      <c r="M8" s="55"/>
    </row>
    <row r="9" s="3" customFormat="1" ht="108" outlineLevel="1" spans="1:13">
      <c r="A9" s="22">
        <v>4</v>
      </c>
      <c r="B9" s="23" t="s">
        <v>74</v>
      </c>
      <c r="C9" s="24" t="s">
        <v>75</v>
      </c>
      <c r="D9" s="25" t="s">
        <v>76</v>
      </c>
      <c r="E9" s="26" t="s">
        <v>68</v>
      </c>
      <c r="F9" s="27">
        <f>38.8+66.15+62.3+32*6+28.14*2</f>
        <v>415.53</v>
      </c>
      <c r="G9" s="28"/>
      <c r="H9" s="28"/>
      <c r="I9" s="52"/>
      <c r="J9" s="52"/>
      <c r="K9" s="52"/>
      <c r="L9" s="52"/>
      <c r="M9" s="55"/>
    </row>
    <row r="10" s="3" customFormat="1" ht="108" outlineLevel="1" spans="1:13">
      <c r="A10" s="22">
        <v>5</v>
      </c>
      <c r="B10" s="23" t="s">
        <v>77</v>
      </c>
      <c r="C10" s="24" t="s">
        <v>78</v>
      </c>
      <c r="D10" s="25" t="s">
        <v>67</v>
      </c>
      <c r="E10" s="26" t="s">
        <v>68</v>
      </c>
      <c r="F10" s="27">
        <f>487.9+145.13</f>
        <v>633.03</v>
      </c>
      <c r="G10" s="28"/>
      <c r="H10" s="28"/>
      <c r="I10" s="52"/>
      <c r="J10" s="52"/>
      <c r="K10" s="52"/>
      <c r="L10" s="52"/>
      <c r="M10" s="55"/>
    </row>
    <row r="11" s="4" customFormat="1" ht="36" customHeight="1" outlineLevel="1" spans="1:13">
      <c r="A11" s="22">
        <v>6</v>
      </c>
      <c r="B11" s="23" t="s">
        <v>79</v>
      </c>
      <c r="C11" s="24" t="s">
        <v>80</v>
      </c>
      <c r="D11" s="23" t="s">
        <v>67</v>
      </c>
      <c r="E11" s="26" t="s">
        <v>68</v>
      </c>
      <c r="F11" s="27">
        <f>0.28*39</f>
        <v>10.92</v>
      </c>
      <c r="G11" s="28"/>
      <c r="H11" s="28"/>
      <c r="I11" s="52"/>
      <c r="J11" s="52"/>
      <c r="K11" s="52"/>
      <c r="L11" s="52"/>
      <c r="M11" s="55"/>
    </row>
    <row r="12" s="4" customFormat="1" ht="26" customHeight="1" outlineLevel="1" spans="1:13">
      <c r="A12" s="22">
        <v>7</v>
      </c>
      <c r="B12" s="23" t="s">
        <v>81</v>
      </c>
      <c r="C12" s="24" t="s">
        <v>82</v>
      </c>
      <c r="D12" s="23" t="s">
        <v>67</v>
      </c>
      <c r="E12" s="26" t="s">
        <v>68</v>
      </c>
      <c r="F12" s="27">
        <v>1</v>
      </c>
      <c r="G12" s="29"/>
      <c r="H12" s="30"/>
      <c r="I12" s="52"/>
      <c r="J12" s="52"/>
      <c r="K12" s="52"/>
      <c r="L12" s="52"/>
      <c r="M12" s="55"/>
    </row>
    <row r="13" s="4" customFormat="1" ht="25" customHeight="1" outlineLevel="1" spans="1:13">
      <c r="A13" s="22">
        <v>8</v>
      </c>
      <c r="B13" s="23" t="s">
        <v>83</v>
      </c>
      <c r="C13" s="24" t="s">
        <v>84</v>
      </c>
      <c r="D13" s="23" t="s">
        <v>67</v>
      </c>
      <c r="E13" s="26" t="s">
        <v>68</v>
      </c>
      <c r="F13" s="27">
        <v>1</v>
      </c>
      <c r="G13" s="29"/>
      <c r="H13" s="30"/>
      <c r="I13" s="52"/>
      <c r="J13" s="52"/>
      <c r="K13" s="52"/>
      <c r="L13" s="52"/>
      <c r="M13" s="55"/>
    </row>
    <row r="14" s="4" customFormat="1" ht="36" customHeight="1" outlineLevel="1" spans="1:13">
      <c r="A14" s="22">
        <v>9</v>
      </c>
      <c r="B14" s="23" t="s">
        <v>85</v>
      </c>
      <c r="C14" s="47" t="s">
        <v>86</v>
      </c>
      <c r="D14" s="31" t="s">
        <v>67</v>
      </c>
      <c r="E14" s="23" t="s">
        <v>68</v>
      </c>
      <c r="F14" s="27">
        <f>5867.86+6389.14+529.4</f>
        <v>12786.4</v>
      </c>
      <c r="G14" s="29"/>
      <c r="H14" s="30"/>
      <c r="I14" s="52"/>
      <c r="J14" s="52"/>
      <c r="K14" s="52"/>
      <c r="L14" s="52"/>
      <c r="M14" s="55"/>
    </row>
    <row r="15" s="4" customFormat="1" ht="36" outlineLevel="1" spans="1:13">
      <c r="A15" s="22">
        <v>10</v>
      </c>
      <c r="B15" s="23" t="s">
        <v>87</v>
      </c>
      <c r="C15" s="24" t="s">
        <v>88</v>
      </c>
      <c r="D15" s="31" t="s">
        <v>67</v>
      </c>
      <c r="E15" s="26" t="s">
        <v>89</v>
      </c>
      <c r="F15" s="27">
        <v>1</v>
      </c>
      <c r="G15" s="29"/>
      <c r="H15" s="30"/>
      <c r="I15" s="52"/>
      <c r="J15" s="52"/>
      <c r="K15" s="52"/>
      <c r="L15" s="52"/>
      <c r="M15" s="55"/>
    </row>
    <row r="16" s="4" customFormat="1" ht="48" outlineLevel="1" spans="1:13">
      <c r="A16" s="22">
        <v>11</v>
      </c>
      <c r="B16" s="23" t="s">
        <v>87</v>
      </c>
      <c r="C16" s="24" t="s">
        <v>90</v>
      </c>
      <c r="D16" s="31" t="s">
        <v>67</v>
      </c>
      <c r="E16" s="26" t="s">
        <v>89</v>
      </c>
      <c r="F16" s="27">
        <v>1</v>
      </c>
      <c r="G16" s="29"/>
      <c r="H16" s="30"/>
      <c r="I16" s="52"/>
      <c r="J16" s="52"/>
      <c r="K16" s="52"/>
      <c r="L16" s="52"/>
      <c r="M16" s="55"/>
    </row>
    <row r="17" s="4" customFormat="1" ht="25" customHeight="1" outlineLevel="1" spans="1:13">
      <c r="A17" s="22">
        <v>12</v>
      </c>
      <c r="B17" s="23" t="s">
        <v>91</v>
      </c>
      <c r="C17" s="24" t="s">
        <v>92</v>
      </c>
      <c r="D17" s="25" t="s">
        <v>93</v>
      </c>
      <c r="E17" s="26" t="s">
        <v>94</v>
      </c>
      <c r="F17" s="27">
        <v>1</v>
      </c>
      <c r="G17" s="29"/>
      <c r="H17" s="30"/>
      <c r="I17" s="52"/>
      <c r="J17" s="52"/>
      <c r="K17" s="52"/>
      <c r="L17" s="52"/>
      <c r="M17" s="55"/>
    </row>
    <row r="18" s="5" customFormat="1" ht="25" customHeight="1" spans="1:13">
      <c r="A18" s="17" t="s">
        <v>95</v>
      </c>
      <c r="B18" s="17" t="s">
        <v>96</v>
      </c>
      <c r="C18" s="18"/>
      <c r="D18" s="25"/>
      <c r="E18" s="25"/>
      <c r="F18" s="26"/>
      <c r="G18" s="29"/>
      <c r="H18" s="30"/>
      <c r="I18" s="52"/>
      <c r="J18" s="52"/>
      <c r="K18" s="52"/>
      <c r="L18" s="52"/>
      <c r="M18" s="55"/>
    </row>
    <row r="19" s="5" customFormat="1" ht="36" customHeight="1" outlineLevel="1" spans="1:13">
      <c r="A19" s="22">
        <v>1</v>
      </c>
      <c r="B19" s="32" t="s">
        <v>97</v>
      </c>
      <c r="C19" s="33" t="s">
        <v>98</v>
      </c>
      <c r="D19" s="25" t="s">
        <v>76</v>
      </c>
      <c r="E19" s="26" t="s">
        <v>68</v>
      </c>
      <c r="F19" s="27">
        <v>1</v>
      </c>
      <c r="G19" s="28"/>
      <c r="H19" s="28"/>
      <c r="I19" s="52"/>
      <c r="J19" s="52"/>
      <c r="K19" s="52"/>
      <c r="L19" s="52"/>
      <c r="M19" s="55"/>
    </row>
    <row r="20" s="5" customFormat="1" ht="36" customHeight="1" outlineLevel="1" spans="1:13">
      <c r="A20" s="22">
        <v>2</v>
      </c>
      <c r="B20" s="32" t="s">
        <v>99</v>
      </c>
      <c r="C20" s="33" t="s">
        <v>100</v>
      </c>
      <c r="D20" s="25" t="s">
        <v>76</v>
      </c>
      <c r="E20" s="26" t="s">
        <v>68</v>
      </c>
      <c r="F20" s="27">
        <v>1</v>
      </c>
      <c r="G20" s="28"/>
      <c r="H20" s="28"/>
      <c r="I20" s="52"/>
      <c r="J20" s="52"/>
      <c r="K20" s="52"/>
      <c r="L20" s="52"/>
      <c r="M20" s="55"/>
    </row>
    <row r="21" s="5" customFormat="1" ht="36" customHeight="1" outlineLevel="1" spans="1:13">
      <c r="A21" s="22">
        <v>3</v>
      </c>
      <c r="B21" s="32" t="s">
        <v>101</v>
      </c>
      <c r="C21" s="33" t="s">
        <v>102</v>
      </c>
      <c r="D21" s="25" t="s">
        <v>103</v>
      </c>
      <c r="E21" s="26" t="s">
        <v>104</v>
      </c>
      <c r="F21" s="27">
        <v>1326</v>
      </c>
      <c r="G21" s="28"/>
      <c r="H21" s="28"/>
      <c r="I21" s="52"/>
      <c r="J21" s="52"/>
      <c r="K21" s="52"/>
      <c r="L21" s="52"/>
      <c r="M21" s="55"/>
    </row>
    <row r="22" s="5" customFormat="1" ht="36" customHeight="1" outlineLevel="1" spans="1:13">
      <c r="A22" s="22">
        <v>4</v>
      </c>
      <c r="B22" s="32" t="s">
        <v>105</v>
      </c>
      <c r="C22" s="33" t="s">
        <v>106</v>
      </c>
      <c r="D22" s="25" t="s">
        <v>76</v>
      </c>
      <c r="E22" s="26" t="s">
        <v>68</v>
      </c>
      <c r="F22" s="27">
        <f>+(29.4+16.4)*2*10*1.5+41.5+104</f>
        <v>1519.5</v>
      </c>
      <c r="G22" s="28"/>
      <c r="H22" s="28"/>
      <c r="I22" s="52"/>
      <c r="J22" s="52"/>
      <c r="K22" s="52"/>
      <c r="L22" s="52"/>
      <c r="M22" s="55"/>
    </row>
    <row r="23" s="5" customFormat="1" ht="36" customHeight="1" outlineLevel="1" spans="1:13">
      <c r="A23" s="22">
        <v>5</v>
      </c>
      <c r="B23" s="32" t="s">
        <v>107</v>
      </c>
      <c r="C23" s="33" t="s">
        <v>108</v>
      </c>
      <c r="D23" s="25" t="s">
        <v>76</v>
      </c>
      <c r="E23" s="26" t="s">
        <v>68</v>
      </c>
      <c r="F23" s="27">
        <v>46.4</v>
      </c>
      <c r="G23" s="28"/>
      <c r="H23" s="28"/>
      <c r="I23" s="52"/>
      <c r="J23" s="52"/>
      <c r="K23" s="52"/>
      <c r="L23" s="52"/>
      <c r="M23" s="55"/>
    </row>
    <row r="24" s="5" customFormat="1" ht="36" customHeight="1" outlineLevel="1" spans="1:13">
      <c r="A24" s="22">
        <v>6</v>
      </c>
      <c r="B24" s="32" t="s">
        <v>109</v>
      </c>
      <c r="C24" s="33" t="s">
        <v>110</v>
      </c>
      <c r="D24" s="25" t="s">
        <v>76</v>
      </c>
      <c r="E24" s="26" t="s">
        <v>68</v>
      </c>
      <c r="F24" s="27">
        <v>24</v>
      </c>
      <c r="G24" s="28"/>
      <c r="H24" s="28"/>
      <c r="I24" s="52"/>
      <c r="J24" s="52"/>
      <c r="K24" s="52"/>
      <c r="L24" s="52"/>
      <c r="M24" s="55"/>
    </row>
    <row r="25" s="5" customFormat="1" ht="36" customHeight="1" outlineLevel="1" spans="1:13">
      <c r="A25" s="22">
        <v>7</v>
      </c>
      <c r="B25" s="34" t="s">
        <v>111</v>
      </c>
      <c r="C25" s="33" t="s">
        <v>112</v>
      </c>
      <c r="D25" s="25" t="s">
        <v>67</v>
      </c>
      <c r="E25" s="26" t="s">
        <v>68</v>
      </c>
      <c r="F25" s="27">
        <f>12.2*2+5.4*2+14.6+13.6</f>
        <v>63.4</v>
      </c>
      <c r="G25" s="28"/>
      <c r="H25" s="28"/>
      <c r="I25" s="52"/>
      <c r="J25" s="52"/>
      <c r="K25" s="52"/>
      <c r="L25" s="52"/>
      <c r="M25" s="55"/>
    </row>
    <row r="26" s="5" customFormat="1" ht="33" customHeight="1" outlineLevel="1" spans="1:13">
      <c r="A26" s="22">
        <v>8</v>
      </c>
      <c r="B26" s="34" t="s">
        <v>113</v>
      </c>
      <c r="C26" s="33" t="s">
        <v>114</v>
      </c>
      <c r="D26" s="25" t="s">
        <v>76</v>
      </c>
      <c r="E26" s="26" t="s">
        <v>68</v>
      </c>
      <c r="F26" s="27">
        <v>3.6</v>
      </c>
      <c r="G26" s="28"/>
      <c r="H26" s="28"/>
      <c r="I26" s="52"/>
      <c r="J26" s="52"/>
      <c r="K26" s="52"/>
      <c r="L26" s="52"/>
      <c r="M26" s="55"/>
    </row>
    <row r="27" s="5" customFormat="1" ht="36" customHeight="1" outlineLevel="1" spans="1:13">
      <c r="A27" s="22">
        <v>9</v>
      </c>
      <c r="B27" s="34" t="s">
        <v>115</v>
      </c>
      <c r="C27" s="33" t="s">
        <v>116</v>
      </c>
      <c r="D27" s="25" t="s">
        <v>67</v>
      </c>
      <c r="E27" s="26" t="s">
        <v>68</v>
      </c>
      <c r="F27" s="27">
        <f>60.7+85+25*35</f>
        <v>1020.7</v>
      </c>
      <c r="G27" s="28"/>
      <c r="H27" s="28"/>
      <c r="I27" s="52"/>
      <c r="J27" s="52"/>
      <c r="K27" s="52"/>
      <c r="L27" s="52"/>
      <c r="M27" s="55"/>
    </row>
    <row r="28" s="5" customFormat="1" ht="36" customHeight="1" outlineLevel="1" spans="1:13">
      <c r="A28" s="22">
        <v>10</v>
      </c>
      <c r="B28" s="34" t="s">
        <v>117</v>
      </c>
      <c r="C28" s="33" t="s">
        <v>118</v>
      </c>
      <c r="D28" s="25" t="s">
        <v>76</v>
      </c>
      <c r="E28" s="26" t="s">
        <v>68</v>
      </c>
      <c r="F28" s="27">
        <v>183.74</v>
      </c>
      <c r="G28" s="28"/>
      <c r="H28" s="28"/>
      <c r="I28" s="52"/>
      <c r="J28" s="52"/>
      <c r="K28" s="52"/>
      <c r="L28" s="52"/>
      <c r="M28" s="55"/>
    </row>
    <row r="29" s="5" customFormat="1" ht="39" customHeight="1" outlineLevel="1" spans="1:13">
      <c r="A29" s="22">
        <v>11</v>
      </c>
      <c r="B29" s="32" t="s">
        <v>119</v>
      </c>
      <c r="C29" s="33" t="s">
        <v>120</v>
      </c>
      <c r="D29" s="25" t="s">
        <v>76</v>
      </c>
      <c r="E29" s="26" t="s">
        <v>68</v>
      </c>
      <c r="F29" s="27">
        <v>833</v>
      </c>
      <c r="G29" s="28"/>
      <c r="H29" s="28"/>
      <c r="I29" s="52"/>
      <c r="J29" s="52"/>
      <c r="K29" s="52"/>
      <c r="L29" s="52"/>
      <c r="M29" s="55"/>
    </row>
    <row r="30" s="5" customFormat="1" ht="25" customHeight="1" outlineLevel="1" spans="1:13">
      <c r="A30" s="22">
        <v>12</v>
      </c>
      <c r="B30" s="32" t="s">
        <v>121</v>
      </c>
      <c r="C30" s="33" t="s">
        <v>122</v>
      </c>
      <c r="D30" s="25" t="s">
        <v>67</v>
      </c>
      <c r="E30" s="26" t="s">
        <v>68</v>
      </c>
      <c r="F30" s="27">
        <f>10456-5544+292+167*5+108*5+238+466</f>
        <v>7283</v>
      </c>
      <c r="G30" s="28"/>
      <c r="H30" s="28"/>
      <c r="I30" s="52"/>
      <c r="J30" s="52"/>
      <c r="K30" s="52"/>
      <c r="L30" s="52"/>
      <c r="M30" s="55"/>
    </row>
    <row r="31" s="5" customFormat="1" ht="25" customHeight="1" outlineLevel="1" spans="1:13">
      <c r="A31" s="22">
        <v>13</v>
      </c>
      <c r="B31" s="32" t="s">
        <v>123</v>
      </c>
      <c r="C31" s="33" t="s">
        <v>124</v>
      </c>
      <c r="D31" s="25" t="s">
        <v>67</v>
      </c>
      <c r="E31" s="26" t="s">
        <v>68</v>
      </c>
      <c r="F31" s="27">
        <f>34+65*3+28.38*2+65*5</f>
        <v>610.76</v>
      </c>
      <c r="G31" s="28"/>
      <c r="H31" s="28"/>
      <c r="I31" s="52"/>
      <c r="J31" s="52"/>
      <c r="K31" s="52"/>
      <c r="L31" s="52"/>
      <c r="M31" s="55"/>
    </row>
    <row r="32" s="5" customFormat="1" ht="25" customHeight="1" outlineLevel="1" spans="1:13">
      <c r="A32" s="22">
        <v>14</v>
      </c>
      <c r="B32" s="32" t="s">
        <v>125</v>
      </c>
      <c r="C32" s="33" t="s">
        <v>126</v>
      </c>
      <c r="D32" s="25" t="s">
        <v>67</v>
      </c>
      <c r="E32" s="26" t="s">
        <v>68</v>
      </c>
      <c r="F32" s="27">
        <f>+(29.4+16.4)*2*10*2.2+41.5+274</f>
        <v>2330.7</v>
      </c>
      <c r="G32" s="28"/>
      <c r="H32" s="28"/>
      <c r="I32" s="52"/>
      <c r="J32" s="52"/>
      <c r="K32" s="52"/>
      <c r="L32" s="52"/>
      <c r="M32" s="55"/>
    </row>
    <row r="33" s="5" customFormat="1" ht="33" customHeight="1" outlineLevel="1" spans="1:13">
      <c r="A33" s="22">
        <v>15</v>
      </c>
      <c r="B33" s="35" t="s">
        <v>127</v>
      </c>
      <c r="C33" s="36" t="s">
        <v>128</v>
      </c>
      <c r="D33" s="37" t="s">
        <v>129</v>
      </c>
      <c r="E33" s="38" t="s">
        <v>130</v>
      </c>
      <c r="F33" s="27">
        <f>37.65*2</f>
        <v>75.3</v>
      </c>
      <c r="G33" s="28"/>
      <c r="H33" s="28"/>
      <c r="I33" s="52"/>
      <c r="J33" s="52"/>
      <c r="K33" s="52"/>
      <c r="L33" s="52"/>
      <c r="M33" s="55"/>
    </row>
    <row r="34" s="5" customFormat="1" ht="33" customHeight="1" outlineLevel="1" spans="1:13">
      <c r="A34" s="22">
        <v>16</v>
      </c>
      <c r="B34" s="35" t="s">
        <v>131</v>
      </c>
      <c r="C34" s="36" t="s">
        <v>132</v>
      </c>
      <c r="D34" s="37" t="s">
        <v>133</v>
      </c>
      <c r="E34" s="38" t="s">
        <v>134</v>
      </c>
      <c r="F34" s="27">
        <f>40+4+2</f>
        <v>46</v>
      </c>
      <c r="G34" s="28"/>
      <c r="H34" s="28"/>
      <c r="I34" s="52"/>
      <c r="J34" s="52"/>
      <c r="K34" s="52"/>
      <c r="L34" s="52"/>
      <c r="M34" s="55"/>
    </row>
    <row r="35" s="5" customFormat="1" ht="25" customHeight="1" outlineLevel="1" spans="1:13">
      <c r="A35" s="22">
        <v>17</v>
      </c>
      <c r="B35" s="39" t="s">
        <v>135</v>
      </c>
      <c r="C35" s="40" t="s">
        <v>136</v>
      </c>
      <c r="D35" s="31" t="s">
        <v>137</v>
      </c>
      <c r="E35" s="26" t="s">
        <v>68</v>
      </c>
      <c r="F35" s="27">
        <f>5560.7-700+1415.5+353*10+1020.7+833</f>
        <v>11659.9</v>
      </c>
      <c r="G35" s="28"/>
      <c r="H35" s="28"/>
      <c r="I35" s="52"/>
      <c r="J35" s="52"/>
      <c r="K35" s="52"/>
      <c r="L35" s="52"/>
      <c r="M35" s="55"/>
    </row>
    <row r="36" s="5" customFormat="1" ht="25" customHeight="1" outlineLevel="1" spans="1:13">
      <c r="A36" s="22">
        <v>18</v>
      </c>
      <c r="B36" s="39" t="s">
        <v>138</v>
      </c>
      <c r="C36" s="40" t="s">
        <v>139</v>
      </c>
      <c r="D36" s="31" t="s">
        <v>137</v>
      </c>
      <c r="E36" s="26" t="s">
        <v>68</v>
      </c>
      <c r="F36" s="27">
        <f>700+91+3.6</f>
        <v>794.6</v>
      </c>
      <c r="G36" s="28"/>
      <c r="H36" s="28"/>
      <c r="I36" s="52"/>
      <c r="J36" s="52"/>
      <c r="K36" s="52"/>
      <c r="L36" s="52"/>
      <c r="M36" s="55"/>
    </row>
    <row r="37" s="5" customFormat="1" ht="25" customHeight="1" spans="1:13">
      <c r="A37" s="17" t="s">
        <v>140</v>
      </c>
      <c r="B37" s="17" t="s">
        <v>141</v>
      </c>
      <c r="C37" s="18"/>
      <c r="D37" s="25"/>
      <c r="E37" s="25"/>
      <c r="F37" s="26"/>
      <c r="G37" s="29"/>
      <c r="H37" s="30"/>
      <c r="I37" s="52"/>
      <c r="J37" s="52"/>
      <c r="K37" s="52"/>
      <c r="L37" s="52"/>
      <c r="M37" s="55"/>
    </row>
    <row r="38" s="3" customFormat="1" ht="95" customHeight="1" outlineLevel="1" spans="1:14">
      <c r="A38" s="22">
        <v>1</v>
      </c>
      <c r="B38" s="23" t="s">
        <v>142</v>
      </c>
      <c r="C38" s="24" t="s">
        <v>143</v>
      </c>
      <c r="D38" s="25" t="s">
        <v>67</v>
      </c>
      <c r="E38" s="26" t="s">
        <v>68</v>
      </c>
      <c r="F38" s="27">
        <f>(0.41*3+2.96*3+6.78*3+3.11*3+1.74*2.4+3.54*2.4+3.51*2.4+6.62*3+3.51*2.4+5.03*3+4.24*2.4+4.5*3+8.74*3+0.66*3+(1.6*2+4.77+3.24+4.74+3*2+2.7*2+1.5*4+5+8.4)*3)*2+(8.14*3*4+4.04*3*3+3.54*3*3)*2</f>
        <v>924.552</v>
      </c>
      <c r="G38" s="41"/>
      <c r="H38" s="28"/>
      <c r="I38" s="52"/>
      <c r="J38" s="52"/>
      <c r="K38" s="52"/>
      <c r="L38" s="52"/>
      <c r="M38" s="55"/>
      <c r="N38" s="56">
        <f>(8.14*3*4+4.04*3*3+3.54*3*3)*2</f>
        <v>331.8</v>
      </c>
    </row>
    <row r="39" s="3" customFormat="1" ht="95" customHeight="1" outlineLevel="1" spans="1:14">
      <c r="A39" s="22">
        <v>2</v>
      </c>
      <c r="B39" s="23" t="s">
        <v>144</v>
      </c>
      <c r="C39" s="24" t="s">
        <v>145</v>
      </c>
      <c r="D39" s="25" t="s">
        <v>67</v>
      </c>
      <c r="E39" s="26" t="s">
        <v>68</v>
      </c>
      <c r="F39" s="27">
        <f>(4.51*3+4.64*3)*2+33.9+18.2*2</f>
        <v>125.2</v>
      </c>
      <c r="G39" s="41"/>
      <c r="H39" s="28"/>
      <c r="I39" s="52"/>
      <c r="J39" s="52"/>
      <c r="K39" s="52"/>
      <c r="L39" s="52"/>
      <c r="M39" s="55"/>
      <c r="N39" s="56">
        <f>18.2*2</f>
        <v>36.4</v>
      </c>
    </row>
    <row r="40" s="3" customFormat="1" ht="95" customHeight="1" outlineLevel="1" spans="1:13">
      <c r="A40" s="22">
        <v>3</v>
      </c>
      <c r="B40" s="23" t="s">
        <v>146</v>
      </c>
      <c r="C40" s="24" t="s">
        <v>147</v>
      </c>
      <c r="D40" s="25" t="s">
        <v>67</v>
      </c>
      <c r="E40" s="26" t="s">
        <v>68</v>
      </c>
      <c r="F40" s="27">
        <f>2.94*3-0.9*3+3.19*3*2+2.94*3*2+1.5*3*2</f>
        <v>51.9</v>
      </c>
      <c r="G40" s="28"/>
      <c r="H40" s="28"/>
      <c r="I40" s="52"/>
      <c r="J40" s="52"/>
      <c r="K40" s="52"/>
      <c r="L40" s="52"/>
      <c r="M40" s="55"/>
    </row>
    <row r="41" s="6" customFormat="1" ht="42" customHeight="1" outlineLevel="1" spans="1:13">
      <c r="A41" s="22">
        <v>4</v>
      </c>
      <c r="B41" s="42" t="s">
        <v>148</v>
      </c>
      <c r="C41" s="33" t="s">
        <v>149</v>
      </c>
      <c r="D41" s="25" t="s">
        <v>67</v>
      </c>
      <c r="E41" s="26" t="s">
        <v>68</v>
      </c>
      <c r="F41" s="43">
        <f>4.7*9.6*2-1.8*3*2+(41.5*8.7-1.35-0.7*1.9*2-1.8*2.3*3)*2</f>
        <v>768.68</v>
      </c>
      <c r="G41" s="28"/>
      <c r="H41" s="28"/>
      <c r="I41" s="52"/>
      <c r="J41" s="52"/>
      <c r="K41" s="52"/>
      <c r="L41" s="52"/>
      <c r="M41" s="55"/>
    </row>
    <row r="42" s="6" customFormat="1" ht="42" customHeight="1" outlineLevel="1" spans="1:13">
      <c r="A42" s="22">
        <v>5</v>
      </c>
      <c r="B42" s="42" t="s">
        <v>150</v>
      </c>
      <c r="C42" s="33" t="s">
        <v>151</v>
      </c>
      <c r="D42" s="25" t="s">
        <v>67</v>
      </c>
      <c r="E42" s="26" t="s">
        <v>68</v>
      </c>
      <c r="F42" s="43">
        <f>0.3*9.6*2+41.5*0.3*2</f>
        <v>30.66</v>
      </c>
      <c r="G42" s="28"/>
      <c r="H42" s="28"/>
      <c r="I42" s="52"/>
      <c r="J42" s="52"/>
      <c r="K42" s="52"/>
      <c r="L42" s="52"/>
      <c r="M42" s="55"/>
    </row>
    <row r="43" s="6" customFormat="1" ht="115" customHeight="1" outlineLevel="1" spans="1:13">
      <c r="A43" s="22">
        <v>6</v>
      </c>
      <c r="B43" s="42" t="s">
        <v>152</v>
      </c>
      <c r="C43" s="33" t="s">
        <v>153</v>
      </c>
      <c r="D43" s="25" t="s">
        <v>154</v>
      </c>
      <c r="E43" s="26" t="s">
        <v>130</v>
      </c>
      <c r="F43" s="43">
        <v>12.5</v>
      </c>
      <c r="G43" s="28"/>
      <c r="H43" s="28"/>
      <c r="I43" s="52"/>
      <c r="J43" s="52"/>
      <c r="K43" s="52"/>
      <c r="L43" s="52"/>
      <c r="M43" s="55"/>
    </row>
    <row r="44" s="6" customFormat="1" ht="42" customHeight="1" outlineLevel="1" spans="1:13">
      <c r="A44" s="22">
        <v>7</v>
      </c>
      <c r="B44" s="42" t="s">
        <v>155</v>
      </c>
      <c r="C44" s="33" t="s">
        <v>156</v>
      </c>
      <c r="D44" s="25" t="s">
        <v>157</v>
      </c>
      <c r="E44" s="26" t="s">
        <v>158</v>
      </c>
      <c r="F44" s="43">
        <f>0.52*5*7.85*5*12/1000</f>
        <v>1.2246</v>
      </c>
      <c r="G44" s="28"/>
      <c r="H44" s="28"/>
      <c r="I44" s="52"/>
      <c r="J44" s="52"/>
      <c r="K44" s="52"/>
      <c r="L44" s="52"/>
      <c r="M44" s="55"/>
    </row>
    <row r="45" s="6" customFormat="1" ht="42" customHeight="1" outlineLevel="1" spans="1:13">
      <c r="A45" s="22">
        <v>8</v>
      </c>
      <c r="B45" s="42" t="s">
        <v>159</v>
      </c>
      <c r="C45" s="33" t="s">
        <v>160</v>
      </c>
      <c r="D45" s="31" t="s">
        <v>161</v>
      </c>
      <c r="E45" s="20" t="s">
        <v>68</v>
      </c>
      <c r="F45" s="43">
        <f>11.38*5</f>
        <v>56.9</v>
      </c>
      <c r="G45" s="28"/>
      <c r="H45" s="28"/>
      <c r="I45" s="52"/>
      <c r="J45" s="52"/>
      <c r="K45" s="52"/>
      <c r="L45" s="52"/>
      <c r="M45" s="55"/>
    </row>
    <row r="46" s="6" customFormat="1" ht="42" customHeight="1" outlineLevel="1" spans="1:13">
      <c r="A46" s="22">
        <v>9</v>
      </c>
      <c r="B46" s="42" t="s">
        <v>162</v>
      </c>
      <c r="C46" s="33" t="s">
        <v>163</v>
      </c>
      <c r="D46" s="31" t="s">
        <v>164</v>
      </c>
      <c r="E46" s="20" t="s">
        <v>68</v>
      </c>
      <c r="F46" s="43">
        <f>11.38*5*2+0.44*5*2</f>
        <v>118.2</v>
      </c>
      <c r="G46" s="28"/>
      <c r="H46" s="28"/>
      <c r="I46" s="52"/>
      <c r="J46" s="52"/>
      <c r="K46" s="52"/>
      <c r="L46" s="52"/>
      <c r="M46" s="55"/>
    </row>
    <row r="47" s="6" customFormat="1" ht="42" customHeight="1" outlineLevel="1" spans="1:14">
      <c r="A47" s="22">
        <v>10</v>
      </c>
      <c r="B47" s="42" t="s">
        <v>165</v>
      </c>
      <c r="C47" s="33" t="s">
        <v>166</v>
      </c>
      <c r="D47" s="37" t="s">
        <v>129</v>
      </c>
      <c r="E47" s="38" t="s">
        <v>130</v>
      </c>
      <c r="F47" s="43">
        <f>11.3+38+38.7+49.4+25.75+16.85+11.1+7.8+11.1+38.7*2+49.4-6.8+49.4+11.1+7.8+11.1+4*84+17.65*2-1.8-7.87+33.27*2+12.16+2.67+3.17+8.18+2.47*2+1.94+0.7+2.44*2+1.87+32.5+11*2+7.94*2+14.7*4+15.94+20.13+17+24.3</f>
        <v>1084.63</v>
      </c>
      <c r="G47" s="28"/>
      <c r="H47" s="28"/>
      <c r="I47" s="52"/>
      <c r="J47" s="52"/>
      <c r="K47" s="52"/>
      <c r="L47" s="52"/>
      <c r="M47" s="55"/>
      <c r="N47" s="57">
        <v>14.7</v>
      </c>
    </row>
    <row r="48" s="6" customFormat="1" ht="42" customHeight="1" outlineLevel="1" spans="1:13">
      <c r="A48" s="22">
        <v>11</v>
      </c>
      <c r="B48" s="42" t="s">
        <v>167</v>
      </c>
      <c r="C48" s="33" t="s">
        <v>168</v>
      </c>
      <c r="D48" s="37" t="s">
        <v>129</v>
      </c>
      <c r="E48" s="38" t="s">
        <v>130</v>
      </c>
      <c r="F48" s="43">
        <f>(7.64*2+10*2)*5+15.94-2.4*3+20.13+17+24.3</f>
        <v>246.57</v>
      </c>
      <c r="G48" s="28"/>
      <c r="H48" s="28"/>
      <c r="I48" s="52"/>
      <c r="J48" s="52"/>
      <c r="K48" s="52"/>
      <c r="L48" s="52"/>
      <c r="M48" s="55"/>
    </row>
    <row r="49" s="6" customFormat="1" ht="42" customHeight="1" outlineLevel="1" spans="1:13">
      <c r="A49" s="22">
        <v>12</v>
      </c>
      <c r="B49" s="42" t="s">
        <v>169</v>
      </c>
      <c r="C49" s="33" t="s">
        <v>170</v>
      </c>
      <c r="D49" s="25" t="s">
        <v>67</v>
      </c>
      <c r="E49" s="26" t="s">
        <v>68</v>
      </c>
      <c r="F49" s="43">
        <f>172.9-1.8*2.3*4-12*2+1.6*4.55*10+49.4*4.55-1.8*2.3*3+25.75*4.55+16.85*4.55-1*2.3*3+15.2*4.6+43+29.3+71*2</f>
        <v>888.64</v>
      </c>
      <c r="G49" s="28"/>
      <c r="H49" s="28"/>
      <c r="I49" s="52"/>
      <c r="J49" s="52"/>
      <c r="K49" s="52"/>
      <c r="L49" s="52"/>
      <c r="M49" s="55"/>
    </row>
    <row r="50" s="6" customFormat="1" ht="42" customHeight="1" outlineLevel="1" spans="1:13">
      <c r="A50" s="22">
        <v>13</v>
      </c>
      <c r="B50" s="42" t="s">
        <v>171</v>
      </c>
      <c r="C50" s="33" t="s">
        <v>172</v>
      </c>
      <c r="D50" s="25" t="s">
        <v>67</v>
      </c>
      <c r="E50" s="26" t="s">
        <v>68</v>
      </c>
      <c r="F50" s="43">
        <f>1*4*0.4*36+15+23.6</f>
        <v>96.2</v>
      </c>
      <c r="G50" s="28"/>
      <c r="H50" s="28"/>
      <c r="I50" s="52"/>
      <c r="J50" s="52"/>
      <c r="K50" s="52"/>
      <c r="L50" s="52"/>
      <c r="M50" s="55"/>
    </row>
    <row r="51" s="6" customFormat="1" ht="42" customHeight="1" outlineLevel="1" spans="1:13">
      <c r="A51" s="22">
        <v>14</v>
      </c>
      <c r="B51" s="42" t="s">
        <v>173</v>
      </c>
      <c r="C51" s="33" t="s">
        <v>174</v>
      </c>
      <c r="D51" s="25" t="s">
        <v>67</v>
      </c>
      <c r="E51" s="26" t="s">
        <v>68</v>
      </c>
      <c r="F51" s="43">
        <f>1*4*0.4*39</f>
        <v>62.4</v>
      </c>
      <c r="G51" s="28"/>
      <c r="H51" s="28"/>
      <c r="I51" s="52"/>
      <c r="J51" s="52"/>
      <c r="K51" s="52"/>
      <c r="L51" s="52"/>
      <c r="M51" s="55"/>
    </row>
    <row r="52" s="6" customFormat="1" ht="37" customHeight="1" outlineLevel="1" spans="1:13">
      <c r="A52" s="22">
        <v>15</v>
      </c>
      <c r="B52" s="42" t="s">
        <v>175</v>
      </c>
      <c r="C52" s="33" t="s">
        <v>176</v>
      </c>
      <c r="D52" s="37" t="s">
        <v>177</v>
      </c>
      <c r="E52" s="26" t="s">
        <v>130</v>
      </c>
      <c r="F52" s="43">
        <f>16.23+13.19+21.8</f>
        <v>51.22</v>
      </c>
      <c r="G52" s="28"/>
      <c r="H52" s="28"/>
      <c r="I52" s="52"/>
      <c r="J52" s="52"/>
      <c r="K52" s="52"/>
      <c r="L52" s="52"/>
      <c r="M52" s="55"/>
    </row>
    <row r="53" s="5" customFormat="1" ht="36" customHeight="1" outlineLevel="1" spans="1:13">
      <c r="A53" s="22">
        <v>16</v>
      </c>
      <c r="B53" s="34" t="s">
        <v>178</v>
      </c>
      <c r="C53" s="33" t="s">
        <v>179</v>
      </c>
      <c r="D53" s="25" t="s">
        <v>180</v>
      </c>
      <c r="E53" s="26" t="s">
        <v>68</v>
      </c>
      <c r="F53" s="27">
        <f>+(4.4+0.6*2)*38</f>
        <v>212.8</v>
      </c>
      <c r="G53" s="28"/>
      <c r="H53" s="28"/>
      <c r="I53" s="52"/>
      <c r="J53" s="52"/>
      <c r="K53" s="52"/>
      <c r="L53" s="52"/>
      <c r="M53" s="55"/>
    </row>
    <row r="54" s="5" customFormat="1" ht="36" customHeight="1" outlineLevel="1" spans="1:13">
      <c r="A54" s="22">
        <v>17</v>
      </c>
      <c r="B54" s="34" t="s">
        <v>181</v>
      </c>
      <c r="C54" s="33" t="s">
        <v>182</v>
      </c>
      <c r="D54" s="25" t="s">
        <v>183</v>
      </c>
      <c r="E54" s="26" t="s">
        <v>68</v>
      </c>
      <c r="F54" s="27">
        <f>39.85*4.4+39.85*4.4+11.1*4.55+7.8*4.55-1.8*2.3*2-18.66+11.1*4.55-1.8*2.3*2+38.7*4.65+38.7*4.55-1.8*4.55*11+49.4*4.55-1.8*2.3*4+49.4*4.55+11.1*4.55-1.5*2.3+7.8*4.55-1.8*2.3-6.5+11.1*4.55-1.8*2.3+26.4*2+49.8*2</f>
        <v>1421.56</v>
      </c>
      <c r="G54" s="28"/>
      <c r="H54" s="28"/>
      <c r="I54" s="52"/>
      <c r="J54" s="52"/>
      <c r="K54" s="52"/>
      <c r="L54" s="52"/>
      <c r="M54" s="55"/>
    </row>
    <row r="55" s="5" customFormat="1" ht="34" customHeight="1" outlineLevel="1" spans="1:13">
      <c r="A55" s="22">
        <v>18</v>
      </c>
      <c r="B55" s="44" t="s">
        <v>184</v>
      </c>
      <c r="C55" s="45" t="s">
        <v>185</v>
      </c>
      <c r="D55" s="25" t="s">
        <v>67</v>
      </c>
      <c r="E55" s="26" t="s">
        <v>68</v>
      </c>
      <c r="F55" s="43">
        <f>38.7*4.4</f>
        <v>170.28</v>
      </c>
      <c r="G55" s="28"/>
      <c r="H55" s="28"/>
      <c r="I55" s="52"/>
      <c r="J55" s="52"/>
      <c r="K55" s="52"/>
      <c r="L55" s="52"/>
      <c r="M55" s="55"/>
    </row>
    <row r="56" s="5" customFormat="1" ht="34" customHeight="1" outlineLevel="1" spans="1:14">
      <c r="A56" s="22">
        <v>19</v>
      </c>
      <c r="B56" s="44" t="s">
        <v>186</v>
      </c>
      <c r="C56" s="45" t="s">
        <v>187</v>
      </c>
      <c r="D56" s="25" t="s">
        <v>67</v>
      </c>
      <c r="E56" s="26" t="s">
        <v>68</v>
      </c>
      <c r="F56" s="43">
        <f>170.28+(7.64*1.07+29+45.7+31.2)*5+1.57*2.95*2+0.44*2.95+0.7*2.95+0.6*2.24+2.44*2.95+2*2.95+2.44*2.95+(115+181.6)+11*4.45*2+7.94*4.45*2+14.7*2.95*4+4.8*3.5+41.8+35.4+44</f>
        <v>1551.546</v>
      </c>
      <c r="G56" s="28"/>
      <c r="H56" s="28"/>
      <c r="I56" s="52"/>
      <c r="J56" s="52"/>
      <c r="K56" s="52"/>
      <c r="L56" s="52"/>
      <c r="M56" s="55"/>
      <c r="N56" s="92">
        <f>14.7*2.95</f>
        <v>43.365</v>
      </c>
    </row>
    <row r="57" s="5" customFormat="1" ht="34" customHeight="1" outlineLevel="1" spans="1:13">
      <c r="A57" s="22">
        <v>20</v>
      </c>
      <c r="B57" s="44" t="s">
        <v>188</v>
      </c>
      <c r="C57" s="45" t="s">
        <v>189</v>
      </c>
      <c r="D57" s="25" t="s">
        <v>67</v>
      </c>
      <c r="E57" s="26" t="s">
        <v>68</v>
      </c>
      <c r="F57" s="43">
        <f>1*4*3*(45+15+24)</f>
        <v>1008</v>
      </c>
      <c r="G57" s="28"/>
      <c r="H57" s="28"/>
      <c r="I57" s="52"/>
      <c r="J57" s="52"/>
      <c r="K57" s="52"/>
      <c r="L57" s="52"/>
      <c r="M57" s="55"/>
    </row>
    <row r="58" s="5" customFormat="1" ht="34" customHeight="1" outlineLevel="1" spans="1:13">
      <c r="A58" s="22">
        <v>21</v>
      </c>
      <c r="B58" s="44" t="s">
        <v>190</v>
      </c>
      <c r="C58" s="45" t="s">
        <v>191</v>
      </c>
      <c r="D58" s="25" t="s">
        <v>67</v>
      </c>
      <c r="E58" s="26" t="s">
        <v>68</v>
      </c>
      <c r="F58" s="43">
        <f>13.5+17.4+24</f>
        <v>54.9</v>
      </c>
      <c r="G58" s="28"/>
      <c r="H58" s="28"/>
      <c r="I58" s="52"/>
      <c r="J58" s="52"/>
      <c r="K58" s="52"/>
      <c r="L58" s="52"/>
      <c r="M58" s="55"/>
    </row>
    <row r="59" s="5" customFormat="1" ht="34" customHeight="1" outlineLevel="1" spans="1:13">
      <c r="A59" s="22">
        <v>22</v>
      </c>
      <c r="B59" s="44" t="s">
        <v>192</v>
      </c>
      <c r="C59" s="45" t="s">
        <v>193</v>
      </c>
      <c r="D59" s="25" t="s">
        <v>67</v>
      </c>
      <c r="E59" s="26" t="s">
        <v>68</v>
      </c>
      <c r="F59" s="43">
        <f>38.7*4.25+38.7*4.35+15.5*4.35*2+7*4.4+15.5*4.4</f>
        <v>566.67</v>
      </c>
      <c r="G59" s="28"/>
      <c r="H59" s="28"/>
      <c r="I59" s="52"/>
      <c r="J59" s="52"/>
      <c r="K59" s="52"/>
      <c r="L59" s="52"/>
      <c r="M59" s="55"/>
    </row>
    <row r="60" s="5" customFormat="1" ht="34" customHeight="1" outlineLevel="1" spans="1:13">
      <c r="A60" s="22">
        <v>23</v>
      </c>
      <c r="B60" s="44" t="s">
        <v>194</v>
      </c>
      <c r="C60" s="45" t="s">
        <v>195</v>
      </c>
      <c r="D60" s="37" t="s">
        <v>129</v>
      </c>
      <c r="E60" s="26" t="s">
        <v>130</v>
      </c>
      <c r="F60" s="43">
        <f>38.7*2+49.4-6.8+7+15.5</f>
        <v>142.5</v>
      </c>
      <c r="G60" s="28"/>
      <c r="H60" s="28"/>
      <c r="I60" s="52"/>
      <c r="J60" s="52"/>
      <c r="K60" s="52"/>
      <c r="L60" s="52"/>
      <c r="M60" s="55"/>
    </row>
    <row r="61" s="5" customFormat="1" ht="36" customHeight="1" outlineLevel="1" spans="1:13">
      <c r="A61" s="22">
        <v>24</v>
      </c>
      <c r="B61" s="34" t="s">
        <v>196</v>
      </c>
      <c r="C61" s="33" t="s">
        <v>197</v>
      </c>
      <c r="D61" s="25" t="s">
        <v>180</v>
      </c>
      <c r="E61" s="26" t="s">
        <v>68</v>
      </c>
      <c r="F61" s="27">
        <f>1*4*5.95*(45+15+24)-0.7*1.9*44</f>
        <v>1940.68</v>
      </c>
      <c r="G61" s="28"/>
      <c r="H61" s="28"/>
      <c r="I61" s="52"/>
      <c r="J61" s="52"/>
      <c r="K61" s="52"/>
      <c r="L61" s="52"/>
      <c r="M61" s="55"/>
    </row>
    <row r="62" s="5" customFormat="1" ht="36" customHeight="1" outlineLevel="1" spans="1:13">
      <c r="A62" s="22">
        <v>25</v>
      </c>
      <c r="B62" s="34" t="s">
        <v>198</v>
      </c>
      <c r="C62" s="33" t="s">
        <v>197</v>
      </c>
      <c r="D62" s="25" t="s">
        <v>67</v>
      </c>
      <c r="E62" s="26" t="s">
        <v>68</v>
      </c>
      <c r="F62" s="27">
        <f>63.7+43.4+149.5+125+5.67*3+2.74+45+38+12.5*3</f>
        <v>521.85</v>
      </c>
      <c r="G62" s="28"/>
      <c r="H62" s="28"/>
      <c r="I62" s="52"/>
      <c r="J62" s="52"/>
      <c r="K62" s="52"/>
      <c r="L62" s="52"/>
      <c r="M62" s="55"/>
    </row>
    <row r="63" s="5" customFormat="1" ht="36" customHeight="1" outlineLevel="1" spans="1:13">
      <c r="A63" s="22">
        <v>26</v>
      </c>
      <c r="B63" s="34" t="s">
        <v>199</v>
      </c>
      <c r="C63" s="33" t="s">
        <v>200</v>
      </c>
      <c r="D63" s="25" t="s">
        <v>67</v>
      </c>
      <c r="E63" s="26" t="s">
        <v>68</v>
      </c>
      <c r="F63" s="27">
        <f>4.5+0.9</f>
        <v>5.4</v>
      </c>
      <c r="G63" s="28"/>
      <c r="H63" s="28"/>
      <c r="I63" s="52"/>
      <c r="J63" s="52"/>
      <c r="K63" s="52"/>
      <c r="L63" s="52"/>
      <c r="M63" s="55"/>
    </row>
    <row r="64" s="5" customFormat="1" ht="36" customHeight="1" outlineLevel="1" spans="1:13">
      <c r="A64" s="22">
        <v>27</v>
      </c>
      <c r="B64" s="34" t="s">
        <v>201</v>
      </c>
      <c r="C64" s="33" t="s">
        <v>202</v>
      </c>
      <c r="D64" s="25" t="s">
        <v>203</v>
      </c>
      <c r="E64" s="26" t="s">
        <v>68</v>
      </c>
      <c r="F64" s="27">
        <f>51.4+8.5*2.12</f>
        <v>69.42</v>
      </c>
      <c r="G64" s="28"/>
      <c r="H64" s="28"/>
      <c r="I64" s="52"/>
      <c r="J64" s="52"/>
      <c r="K64" s="52"/>
      <c r="L64" s="52"/>
      <c r="M64" s="55"/>
    </row>
    <row r="65" s="5" customFormat="1" ht="41" customHeight="1" outlineLevel="1" spans="1:13">
      <c r="A65" s="22">
        <v>28</v>
      </c>
      <c r="B65" s="46" t="s">
        <v>204</v>
      </c>
      <c r="C65" s="24" t="s">
        <v>205</v>
      </c>
      <c r="D65" s="25" t="s">
        <v>180</v>
      </c>
      <c r="E65" s="26" t="s">
        <v>68</v>
      </c>
      <c r="F65" s="26">
        <f>1*3*4*2</f>
        <v>24</v>
      </c>
      <c r="G65" s="28"/>
      <c r="H65" s="28"/>
      <c r="I65" s="52"/>
      <c r="J65" s="52"/>
      <c r="K65" s="52"/>
      <c r="L65" s="52"/>
      <c r="M65" s="55"/>
    </row>
    <row r="66" s="5" customFormat="1" ht="41" customHeight="1" outlineLevel="1" spans="1:13">
      <c r="A66" s="22">
        <v>29</v>
      </c>
      <c r="B66" s="46" t="s">
        <v>206</v>
      </c>
      <c r="C66" s="24" t="s">
        <v>207</v>
      </c>
      <c r="D66" s="25" t="s">
        <v>180</v>
      </c>
      <c r="E66" s="26" t="s">
        <v>68</v>
      </c>
      <c r="F66" s="26">
        <f>0.84*9*8</f>
        <v>60.48</v>
      </c>
      <c r="G66" s="28"/>
      <c r="H66" s="28"/>
      <c r="I66" s="52"/>
      <c r="J66" s="52"/>
      <c r="K66" s="52"/>
      <c r="L66" s="52"/>
      <c r="M66" s="55"/>
    </row>
    <row r="67" s="5" customFormat="1" ht="34" customHeight="1" outlineLevel="1" spans="1:13">
      <c r="A67" s="22">
        <v>30</v>
      </c>
      <c r="B67" s="44" t="s">
        <v>208</v>
      </c>
      <c r="C67" s="45" t="s">
        <v>209</v>
      </c>
      <c r="D67" s="25" t="s">
        <v>67</v>
      </c>
      <c r="E67" s="26" t="s">
        <v>68</v>
      </c>
      <c r="F67" s="43">
        <f>(7.64*4.08+32.3+32)*5</f>
        <v>477.356</v>
      </c>
      <c r="G67" s="28"/>
      <c r="H67" s="28"/>
      <c r="I67" s="52"/>
      <c r="J67" s="52"/>
      <c r="K67" s="52"/>
      <c r="L67" s="52"/>
      <c r="M67" s="55"/>
    </row>
    <row r="68" s="5" customFormat="1" ht="46" customHeight="1" outlineLevel="1" spans="1:13">
      <c r="A68" s="22">
        <v>31</v>
      </c>
      <c r="B68" s="46" t="s">
        <v>210</v>
      </c>
      <c r="C68" s="47" t="s">
        <v>211</v>
      </c>
      <c r="D68" s="25" t="s">
        <v>212</v>
      </c>
      <c r="E68" s="26" t="s">
        <v>213</v>
      </c>
      <c r="F68" s="43">
        <f>2+2</f>
        <v>4</v>
      </c>
      <c r="G68" s="28"/>
      <c r="H68" s="28"/>
      <c r="I68" s="52"/>
      <c r="J68" s="52"/>
      <c r="K68" s="52"/>
      <c r="L68" s="52"/>
      <c r="M68" s="55"/>
    </row>
    <row r="69" s="5" customFormat="1" ht="46" customHeight="1" outlineLevel="1" spans="1:13">
      <c r="A69" s="22">
        <v>32</v>
      </c>
      <c r="B69" s="46" t="s">
        <v>214</v>
      </c>
      <c r="C69" s="47" t="s">
        <v>215</v>
      </c>
      <c r="D69" s="25" t="s">
        <v>212</v>
      </c>
      <c r="E69" s="26" t="s">
        <v>213</v>
      </c>
      <c r="F69" s="43">
        <f t="shared" ref="F69:F71" si="0">2+3</f>
        <v>5</v>
      </c>
      <c r="G69" s="28"/>
      <c r="H69" s="28"/>
      <c r="I69" s="52"/>
      <c r="J69" s="52"/>
      <c r="K69" s="52"/>
      <c r="L69" s="52"/>
      <c r="M69" s="55"/>
    </row>
    <row r="70" s="5" customFormat="1" ht="46" customHeight="1" outlineLevel="1" spans="1:13">
      <c r="A70" s="22">
        <v>33</v>
      </c>
      <c r="B70" s="46" t="s">
        <v>216</v>
      </c>
      <c r="C70" s="47" t="s">
        <v>217</v>
      </c>
      <c r="D70" s="25" t="s">
        <v>212</v>
      </c>
      <c r="E70" s="26" t="s">
        <v>213</v>
      </c>
      <c r="F70" s="43">
        <f t="shared" si="0"/>
        <v>5</v>
      </c>
      <c r="G70" s="28"/>
      <c r="H70" s="28"/>
      <c r="I70" s="52"/>
      <c r="J70" s="52"/>
      <c r="K70" s="52"/>
      <c r="L70" s="52"/>
      <c r="M70" s="55"/>
    </row>
    <row r="71" s="5" customFormat="1" ht="46" customHeight="1" outlineLevel="1" spans="1:13">
      <c r="A71" s="22">
        <v>34</v>
      </c>
      <c r="B71" s="46" t="s">
        <v>218</v>
      </c>
      <c r="C71" s="47" t="s">
        <v>219</v>
      </c>
      <c r="D71" s="25" t="s">
        <v>212</v>
      </c>
      <c r="E71" s="26" t="s">
        <v>213</v>
      </c>
      <c r="F71" s="43">
        <v>44</v>
      </c>
      <c r="G71" s="28"/>
      <c r="H71" s="28"/>
      <c r="I71" s="52"/>
      <c r="J71" s="52"/>
      <c r="K71" s="52"/>
      <c r="L71" s="52"/>
      <c r="M71" s="55"/>
    </row>
    <row r="72" s="2" customFormat="1" ht="25" customHeight="1" spans="1:13">
      <c r="A72" s="17" t="s">
        <v>220</v>
      </c>
      <c r="B72" s="17" t="s">
        <v>221</v>
      </c>
      <c r="C72" s="18"/>
      <c r="D72" s="25"/>
      <c r="E72" s="25"/>
      <c r="F72" s="26"/>
      <c r="G72" s="29"/>
      <c r="H72" s="30"/>
      <c r="I72" s="52"/>
      <c r="J72" s="52"/>
      <c r="K72" s="52"/>
      <c r="L72" s="52"/>
      <c r="M72" s="55"/>
    </row>
    <row r="73" s="3" customFormat="1" ht="37" customHeight="1" outlineLevel="1" spans="1:13">
      <c r="A73" s="22">
        <v>1</v>
      </c>
      <c r="B73" s="23" t="s">
        <v>70</v>
      </c>
      <c r="C73" s="24" t="s">
        <v>71</v>
      </c>
      <c r="D73" s="25" t="s">
        <v>67</v>
      </c>
      <c r="E73" s="26" t="s">
        <v>68</v>
      </c>
      <c r="F73" s="27">
        <f>95+31.2+34.8+39.36+130.4+23.5+21.68+670.55*2</f>
        <v>1717.04</v>
      </c>
      <c r="G73" s="28"/>
      <c r="H73" s="28"/>
      <c r="I73" s="52"/>
      <c r="J73" s="52"/>
      <c r="K73" s="52"/>
      <c r="L73" s="52"/>
      <c r="M73" s="55"/>
    </row>
    <row r="74" s="3" customFormat="1" ht="55" customHeight="1" outlineLevel="1" spans="1:13">
      <c r="A74" s="22">
        <v>2</v>
      </c>
      <c r="B74" s="23" t="s">
        <v>222</v>
      </c>
      <c r="C74" s="24" t="s">
        <v>75</v>
      </c>
      <c r="D74" s="25" t="s">
        <v>76</v>
      </c>
      <c r="E74" s="26" t="s">
        <v>68</v>
      </c>
      <c r="F74" s="27">
        <f>3.7+28.3*2+35.55*2</f>
        <v>131.4</v>
      </c>
      <c r="G74" s="28"/>
      <c r="H74" s="28"/>
      <c r="I74" s="52"/>
      <c r="J74" s="52"/>
      <c r="K74" s="52"/>
      <c r="L74" s="52"/>
      <c r="M74" s="55"/>
    </row>
    <row r="75" s="3" customFormat="1" ht="37" customHeight="1" outlineLevel="1" spans="1:13">
      <c r="A75" s="22">
        <v>3</v>
      </c>
      <c r="B75" s="23" t="s">
        <v>223</v>
      </c>
      <c r="C75" s="24" t="s">
        <v>224</v>
      </c>
      <c r="D75" s="25" t="s">
        <v>67</v>
      </c>
      <c r="E75" s="26" t="s">
        <v>68</v>
      </c>
      <c r="F75" s="27">
        <f>64.72*2</f>
        <v>129.44</v>
      </c>
      <c r="G75" s="28"/>
      <c r="H75" s="28"/>
      <c r="I75" s="52"/>
      <c r="J75" s="52"/>
      <c r="K75" s="52"/>
      <c r="L75" s="52"/>
      <c r="M75" s="55"/>
    </row>
    <row r="76" s="4" customFormat="1" ht="25" customHeight="1" outlineLevel="1" spans="1:13">
      <c r="A76" s="22">
        <v>4</v>
      </c>
      <c r="B76" s="23" t="s">
        <v>79</v>
      </c>
      <c r="C76" s="24" t="s">
        <v>80</v>
      </c>
      <c r="D76" s="25" t="s">
        <v>67</v>
      </c>
      <c r="E76" s="26" t="s">
        <v>68</v>
      </c>
      <c r="F76" s="27">
        <f>0.46*45</f>
        <v>20.7</v>
      </c>
      <c r="G76" s="28"/>
      <c r="H76" s="28"/>
      <c r="I76" s="52"/>
      <c r="J76" s="52"/>
      <c r="K76" s="52"/>
      <c r="L76" s="52"/>
      <c r="M76" s="55"/>
    </row>
    <row r="77" s="5" customFormat="1" ht="25" customHeight="1" spans="1:13">
      <c r="A77" s="17" t="s">
        <v>225</v>
      </c>
      <c r="B77" s="17" t="s">
        <v>226</v>
      </c>
      <c r="C77" s="18"/>
      <c r="D77" s="25"/>
      <c r="E77" s="25"/>
      <c r="F77" s="26"/>
      <c r="G77" s="29"/>
      <c r="H77" s="30"/>
      <c r="I77" s="52"/>
      <c r="J77" s="52"/>
      <c r="K77" s="52"/>
      <c r="L77" s="52"/>
      <c r="M77" s="55"/>
    </row>
    <row r="78" s="5" customFormat="1" ht="39" customHeight="1" outlineLevel="1" spans="1:13">
      <c r="A78" s="22">
        <v>1</v>
      </c>
      <c r="B78" s="32" t="s">
        <v>121</v>
      </c>
      <c r="C78" s="33" t="s">
        <v>122</v>
      </c>
      <c r="D78" s="25" t="s">
        <v>67</v>
      </c>
      <c r="E78" s="26" t="s">
        <v>68</v>
      </c>
      <c r="F78" s="27">
        <f>(700-21.5*12)*2+173.87*2</f>
        <v>1231.74</v>
      </c>
      <c r="G78" s="28"/>
      <c r="H78" s="28"/>
      <c r="I78" s="52"/>
      <c r="J78" s="52"/>
      <c r="K78" s="52"/>
      <c r="L78" s="52"/>
      <c r="M78" s="55"/>
    </row>
    <row r="79" s="5" customFormat="1" ht="39" customHeight="1" outlineLevel="1" spans="1:13">
      <c r="A79" s="22">
        <v>2</v>
      </c>
      <c r="B79" s="32" t="s">
        <v>227</v>
      </c>
      <c r="C79" s="33" t="s">
        <v>124</v>
      </c>
      <c r="D79" s="25" t="s">
        <v>67</v>
      </c>
      <c r="E79" s="26" t="s">
        <v>68</v>
      </c>
      <c r="F79" s="27">
        <f>21.5*12*2</f>
        <v>516</v>
      </c>
      <c r="G79" s="28"/>
      <c r="H79" s="28"/>
      <c r="I79" s="52"/>
      <c r="J79" s="52"/>
      <c r="K79" s="52"/>
      <c r="L79" s="52"/>
      <c r="M79" s="55"/>
    </row>
    <row r="80" s="5" customFormat="1" ht="39" customHeight="1" outlineLevel="1" spans="1:13">
      <c r="A80" s="22">
        <v>3</v>
      </c>
      <c r="B80" s="32" t="s">
        <v>105</v>
      </c>
      <c r="C80" s="33" t="s">
        <v>106</v>
      </c>
      <c r="D80" s="25" t="s">
        <v>76</v>
      </c>
      <c r="E80" s="26" t="s">
        <v>68</v>
      </c>
      <c r="F80" s="27">
        <f>16*2</f>
        <v>32</v>
      </c>
      <c r="G80" s="28"/>
      <c r="H80" s="28"/>
      <c r="I80" s="52"/>
      <c r="J80" s="52"/>
      <c r="K80" s="52"/>
      <c r="L80" s="52"/>
      <c r="M80" s="55"/>
    </row>
    <row r="81" s="5" customFormat="1" ht="35" customHeight="1" outlineLevel="1" spans="1:13">
      <c r="A81" s="22">
        <v>4</v>
      </c>
      <c r="B81" s="32" t="s">
        <v>125</v>
      </c>
      <c r="C81" s="33" t="s">
        <v>126</v>
      </c>
      <c r="D81" s="25" t="s">
        <v>67</v>
      </c>
      <c r="E81" s="26" t="s">
        <v>68</v>
      </c>
      <c r="F81" s="27">
        <f>32*1.1</f>
        <v>35.2</v>
      </c>
      <c r="G81" s="28"/>
      <c r="H81" s="28"/>
      <c r="I81" s="52"/>
      <c r="J81" s="52"/>
      <c r="K81" s="52"/>
      <c r="L81" s="52"/>
      <c r="M81" s="55"/>
    </row>
    <row r="82" s="5" customFormat="1" ht="39" customHeight="1" outlineLevel="1" spans="1:13">
      <c r="A82" s="22">
        <v>5</v>
      </c>
      <c r="B82" s="32" t="s">
        <v>228</v>
      </c>
      <c r="C82" s="33" t="s">
        <v>229</v>
      </c>
      <c r="D82" s="25" t="s">
        <v>76</v>
      </c>
      <c r="E82" s="26" t="s">
        <v>68</v>
      </c>
      <c r="F82" s="27">
        <f>497*2</f>
        <v>994</v>
      </c>
      <c r="G82" s="28"/>
      <c r="H82" s="28"/>
      <c r="I82" s="52"/>
      <c r="J82" s="52"/>
      <c r="K82" s="52"/>
      <c r="L82" s="52"/>
      <c r="M82" s="55"/>
    </row>
    <row r="83" s="5" customFormat="1" ht="25" customHeight="1" spans="1:13">
      <c r="A83" s="17" t="s">
        <v>230</v>
      </c>
      <c r="B83" s="17" t="s">
        <v>231</v>
      </c>
      <c r="C83" s="18"/>
      <c r="D83" s="25"/>
      <c r="E83" s="25"/>
      <c r="F83" s="26"/>
      <c r="G83" s="29"/>
      <c r="H83" s="30"/>
      <c r="I83" s="52"/>
      <c r="J83" s="52"/>
      <c r="K83" s="52"/>
      <c r="L83" s="52"/>
      <c r="M83" s="55"/>
    </row>
    <row r="84" s="3" customFormat="1" ht="95" customHeight="1" outlineLevel="1" spans="1:14">
      <c r="A84" s="22">
        <v>1</v>
      </c>
      <c r="B84" s="23" t="s">
        <v>142</v>
      </c>
      <c r="C84" s="24" t="s">
        <v>143</v>
      </c>
      <c r="D84" s="25" t="s">
        <v>67</v>
      </c>
      <c r="E84" s="26" t="s">
        <v>68</v>
      </c>
      <c r="F84" s="27">
        <f>(8.14*3*4+4.04*3*3+3.54*3*3)*2+4.3*2.4*2</f>
        <v>352.44</v>
      </c>
      <c r="G84" s="41"/>
      <c r="H84" s="28"/>
      <c r="I84" s="52"/>
      <c r="J84" s="52"/>
      <c r="K84" s="52"/>
      <c r="L84" s="52"/>
      <c r="M84" s="55"/>
      <c r="N84" s="56">
        <f>(8.14*3*4+4.04*3*3+3.54*3*3)*2</f>
        <v>331.8</v>
      </c>
    </row>
    <row r="85" s="3" customFormat="1" ht="95" customHeight="1" outlineLevel="1" spans="1:14">
      <c r="A85" s="22">
        <v>2</v>
      </c>
      <c r="B85" s="23" t="s">
        <v>144</v>
      </c>
      <c r="C85" s="24" t="s">
        <v>145</v>
      </c>
      <c r="D85" s="25" t="s">
        <v>67</v>
      </c>
      <c r="E85" s="26" t="s">
        <v>68</v>
      </c>
      <c r="F85" s="27">
        <f>18.2*2</f>
        <v>36.4</v>
      </c>
      <c r="G85" s="41"/>
      <c r="H85" s="28"/>
      <c r="I85" s="52"/>
      <c r="J85" s="52"/>
      <c r="K85" s="52"/>
      <c r="L85" s="52"/>
      <c r="M85" s="55"/>
      <c r="N85" s="56">
        <f>18.2*2</f>
        <v>36.4</v>
      </c>
    </row>
    <row r="86" s="5" customFormat="1" ht="34" customHeight="1" outlineLevel="1" spans="1:17">
      <c r="A86" s="22">
        <v>3</v>
      </c>
      <c r="B86" s="44" t="s">
        <v>186</v>
      </c>
      <c r="C86" s="45" t="s">
        <v>187</v>
      </c>
      <c r="D86" s="25" t="s">
        <v>67</v>
      </c>
      <c r="E86" s="26" t="s">
        <v>68</v>
      </c>
      <c r="F86" s="43">
        <f>(31.5+25+23+25)*9+20*3.92*13+(8.87*2.7*2+7.65*2.7*2)*13+(115+181.6)*6+24.3*2.95+25*3.92*2</f>
        <v>5166.689</v>
      </c>
      <c r="G86" s="41"/>
      <c r="H86" s="28"/>
      <c r="I86" s="52"/>
      <c r="J86" s="52"/>
      <c r="K86" s="52"/>
      <c r="L86" s="52"/>
      <c r="M86" s="55"/>
      <c r="N86" s="92">
        <f>24.3*2.95</f>
        <v>71.685</v>
      </c>
      <c r="O86" s="5">
        <f>46+76*2</f>
        <v>198</v>
      </c>
      <c r="P86" s="5">
        <v>32.5</v>
      </c>
      <c r="Q86" s="95">
        <f>+O86/P86</f>
        <v>6.09230769230769</v>
      </c>
    </row>
    <row r="87" s="5" customFormat="1" ht="37" customHeight="1" outlineLevel="1" spans="1:13">
      <c r="A87" s="22">
        <v>4</v>
      </c>
      <c r="B87" s="44" t="s">
        <v>232</v>
      </c>
      <c r="C87" s="59" t="s">
        <v>233</v>
      </c>
      <c r="D87" s="25" t="s">
        <v>234</v>
      </c>
      <c r="E87" s="60" t="s">
        <v>130</v>
      </c>
      <c r="F87" s="43">
        <f>(9.74*2+6.39*2-1.5*2)*9+20*13+25*2</f>
        <v>573.34</v>
      </c>
      <c r="G87" s="28"/>
      <c r="H87" s="28"/>
      <c r="I87" s="52"/>
      <c r="J87" s="52"/>
      <c r="K87" s="52"/>
      <c r="L87" s="52"/>
      <c r="M87" s="55"/>
    </row>
    <row r="88" s="6" customFormat="1" ht="42" customHeight="1" outlineLevel="1" spans="1:14">
      <c r="A88" s="22">
        <v>5</v>
      </c>
      <c r="B88" s="42" t="s">
        <v>165</v>
      </c>
      <c r="C88" s="33" t="s">
        <v>166</v>
      </c>
      <c r="D88" s="37" t="s">
        <v>129</v>
      </c>
      <c r="E88" s="38" t="s">
        <v>130</v>
      </c>
      <c r="F88" s="43">
        <f>(8.87*2+7.65*2)*13+32.5*6+24.3*4</f>
        <v>721.72</v>
      </c>
      <c r="G88" s="41"/>
      <c r="H88" s="28"/>
      <c r="I88" s="52"/>
      <c r="J88" s="52"/>
      <c r="K88" s="52"/>
      <c r="L88" s="52"/>
      <c r="M88" s="55"/>
      <c r="N88" s="57">
        <v>24.3</v>
      </c>
    </row>
    <row r="89" s="6" customFormat="1" ht="42" customHeight="1" outlineLevel="1" spans="1:13">
      <c r="A89" s="22">
        <v>6</v>
      </c>
      <c r="B89" s="42" t="s">
        <v>167</v>
      </c>
      <c r="C89" s="33" t="s">
        <v>168</v>
      </c>
      <c r="D89" s="37" t="s">
        <v>129</v>
      </c>
      <c r="E89" s="38" t="s">
        <v>130</v>
      </c>
      <c r="F89" s="43">
        <f>(8.87*2+7.65*2)*13</f>
        <v>429.52</v>
      </c>
      <c r="G89" s="28"/>
      <c r="H89" s="28"/>
      <c r="I89" s="52"/>
      <c r="J89" s="52"/>
      <c r="K89" s="52"/>
      <c r="L89" s="52"/>
      <c r="M89" s="55"/>
    </row>
    <row r="90" s="5" customFormat="1" ht="36" customHeight="1" outlineLevel="1" spans="1:13">
      <c r="A90" s="22">
        <v>7</v>
      </c>
      <c r="B90" s="34" t="s">
        <v>235</v>
      </c>
      <c r="C90" s="33" t="s">
        <v>236</v>
      </c>
      <c r="D90" s="25" t="s">
        <v>67</v>
      </c>
      <c r="E90" s="26" t="s">
        <v>68</v>
      </c>
      <c r="F90" s="27">
        <f>(8.87*2.25*2)*13</f>
        <v>518.895</v>
      </c>
      <c r="G90" s="28"/>
      <c r="H90" s="28"/>
      <c r="I90" s="52"/>
      <c r="J90" s="52"/>
      <c r="K90" s="52"/>
      <c r="L90" s="52"/>
      <c r="M90" s="55"/>
    </row>
    <row r="91" s="5" customFormat="1" ht="36" customHeight="1" outlineLevel="1" spans="1:13">
      <c r="A91" s="22">
        <v>8</v>
      </c>
      <c r="B91" s="34" t="s">
        <v>237</v>
      </c>
      <c r="C91" s="33" t="s">
        <v>197</v>
      </c>
      <c r="D91" s="25" t="s">
        <v>67</v>
      </c>
      <c r="E91" s="26" t="s">
        <v>68</v>
      </c>
      <c r="F91" s="27">
        <f>(7.65*2.25*2-5*2)*13</f>
        <v>317.525</v>
      </c>
      <c r="G91" s="28"/>
      <c r="H91" s="28"/>
      <c r="I91" s="52"/>
      <c r="J91" s="52"/>
      <c r="K91" s="52"/>
      <c r="L91" s="52"/>
      <c r="M91" s="55"/>
    </row>
    <row r="92" s="5" customFormat="1" ht="36" customHeight="1" outlineLevel="1" spans="1:13">
      <c r="A92" s="22">
        <v>9</v>
      </c>
      <c r="B92" s="34" t="s">
        <v>201</v>
      </c>
      <c r="C92" s="33" t="s">
        <v>202</v>
      </c>
      <c r="D92" s="25" t="s">
        <v>203</v>
      </c>
      <c r="E92" s="26" t="s">
        <v>68</v>
      </c>
      <c r="F92" s="27">
        <f>51.4*6</f>
        <v>308.4</v>
      </c>
      <c r="G92" s="28"/>
      <c r="H92" s="28"/>
      <c r="I92" s="52"/>
      <c r="J92" s="52"/>
      <c r="K92" s="52"/>
      <c r="L92" s="52"/>
      <c r="M92" s="55"/>
    </row>
    <row r="93" s="6" customFormat="1" ht="42" customHeight="1" outlineLevel="1" spans="1:13">
      <c r="A93" s="22">
        <v>10</v>
      </c>
      <c r="B93" s="42" t="s">
        <v>238</v>
      </c>
      <c r="C93" s="33" t="s">
        <v>239</v>
      </c>
      <c r="D93" s="37" t="s">
        <v>240</v>
      </c>
      <c r="E93" s="38" t="s">
        <v>68</v>
      </c>
      <c r="F93" s="43">
        <f>(0.27*2.4*2+0.36*1.22)*2</f>
        <v>3.4704</v>
      </c>
      <c r="G93" s="28"/>
      <c r="H93" s="28"/>
      <c r="I93" s="52"/>
      <c r="J93" s="52"/>
      <c r="K93" s="52"/>
      <c r="L93" s="52"/>
      <c r="M93" s="55"/>
    </row>
    <row r="94" s="2" customFormat="1" ht="25" customHeight="1" spans="1:13">
      <c r="A94" s="17" t="s">
        <v>241</v>
      </c>
      <c r="B94" s="17" t="s">
        <v>242</v>
      </c>
      <c r="C94" s="18"/>
      <c r="D94" s="25"/>
      <c r="E94" s="25"/>
      <c r="F94" s="26"/>
      <c r="G94" s="29"/>
      <c r="H94" s="30"/>
      <c r="I94" s="52"/>
      <c r="J94" s="52"/>
      <c r="K94" s="52"/>
      <c r="L94" s="52"/>
      <c r="M94" s="55"/>
    </row>
    <row r="95" s="3" customFormat="1" ht="25" customHeight="1" outlineLevel="1" spans="1:13">
      <c r="A95" s="22">
        <v>1</v>
      </c>
      <c r="B95" s="23" t="s">
        <v>70</v>
      </c>
      <c r="C95" s="24" t="s">
        <v>71</v>
      </c>
      <c r="D95" s="25" t="s">
        <v>67</v>
      </c>
      <c r="E95" s="26" t="s">
        <v>68</v>
      </c>
      <c r="F95" s="27">
        <f>(122.76+190.76+65.95+190.76+127.82)*2</f>
        <v>1396.1</v>
      </c>
      <c r="G95" s="28"/>
      <c r="H95" s="28"/>
      <c r="I95" s="52"/>
      <c r="J95" s="52"/>
      <c r="K95" s="52"/>
      <c r="L95" s="52"/>
      <c r="M95" s="55"/>
    </row>
    <row r="96" s="3" customFormat="1" ht="37" customHeight="1" outlineLevel="1" spans="1:13">
      <c r="A96" s="22">
        <v>2</v>
      </c>
      <c r="B96" s="23" t="s">
        <v>243</v>
      </c>
      <c r="C96" s="24" t="s">
        <v>244</v>
      </c>
      <c r="D96" s="25" t="s">
        <v>67</v>
      </c>
      <c r="E96" s="26" t="s">
        <v>68</v>
      </c>
      <c r="F96" s="27">
        <f>109.6*4</f>
        <v>438.4</v>
      </c>
      <c r="G96" s="28"/>
      <c r="H96" s="28"/>
      <c r="I96" s="52"/>
      <c r="J96" s="52"/>
      <c r="K96" s="52"/>
      <c r="L96" s="52"/>
      <c r="M96" s="55"/>
    </row>
    <row r="97" s="4" customFormat="1" ht="25" customHeight="1" outlineLevel="1" spans="1:13">
      <c r="A97" s="22">
        <v>3</v>
      </c>
      <c r="B97" s="23" t="s">
        <v>79</v>
      </c>
      <c r="C97" s="24" t="s">
        <v>80</v>
      </c>
      <c r="D97" s="25" t="s">
        <v>67</v>
      </c>
      <c r="E97" s="26" t="s">
        <v>68</v>
      </c>
      <c r="F97" s="27">
        <f>0.3*30</f>
        <v>9</v>
      </c>
      <c r="G97" s="28"/>
      <c r="H97" s="28"/>
      <c r="I97" s="52"/>
      <c r="J97" s="52"/>
      <c r="K97" s="52"/>
      <c r="L97" s="52"/>
      <c r="M97" s="55"/>
    </row>
    <row r="98" s="5" customFormat="1" ht="25" customHeight="1" spans="1:13">
      <c r="A98" s="17" t="s">
        <v>245</v>
      </c>
      <c r="B98" s="17" t="s">
        <v>246</v>
      </c>
      <c r="C98" s="18"/>
      <c r="D98" s="25"/>
      <c r="E98" s="25"/>
      <c r="F98" s="26"/>
      <c r="G98" s="29"/>
      <c r="H98" s="30"/>
      <c r="I98" s="52"/>
      <c r="J98" s="52"/>
      <c r="K98" s="52"/>
      <c r="L98" s="52"/>
      <c r="M98" s="55"/>
    </row>
    <row r="99" s="5" customFormat="1" ht="25" customHeight="1" outlineLevel="1" spans="1:13">
      <c r="A99" s="22">
        <v>1</v>
      </c>
      <c r="B99" s="32" t="s">
        <v>121</v>
      </c>
      <c r="C99" s="33" t="s">
        <v>122</v>
      </c>
      <c r="D99" s="25" t="s">
        <v>67</v>
      </c>
      <c r="E99" s="26" t="s">
        <v>68</v>
      </c>
      <c r="F99" s="27">
        <f>134.5*4+110</f>
        <v>648</v>
      </c>
      <c r="G99" s="28"/>
      <c r="H99" s="28"/>
      <c r="I99" s="52"/>
      <c r="J99" s="52"/>
      <c r="K99" s="52"/>
      <c r="L99" s="52"/>
      <c r="M99" s="55"/>
    </row>
    <row r="100" s="5" customFormat="1" ht="36" customHeight="1" outlineLevel="1" spans="1:13">
      <c r="A100" s="22">
        <v>2</v>
      </c>
      <c r="B100" s="32" t="s">
        <v>109</v>
      </c>
      <c r="C100" s="33" t="s">
        <v>110</v>
      </c>
      <c r="D100" s="25" t="s">
        <v>76</v>
      </c>
      <c r="E100" s="26" t="s">
        <v>68</v>
      </c>
      <c r="F100" s="27">
        <f>17.2+12.75</f>
        <v>29.95</v>
      </c>
      <c r="G100" s="28"/>
      <c r="H100" s="28"/>
      <c r="I100" s="52"/>
      <c r="J100" s="52"/>
      <c r="K100" s="52"/>
      <c r="L100" s="52"/>
      <c r="M100" s="55"/>
    </row>
    <row r="101" s="5" customFormat="1" ht="36" customHeight="1" outlineLevel="1" spans="1:13">
      <c r="A101" s="22">
        <v>3</v>
      </c>
      <c r="B101" s="32" t="s">
        <v>247</v>
      </c>
      <c r="C101" s="33" t="s">
        <v>110</v>
      </c>
      <c r="D101" s="25" t="s">
        <v>76</v>
      </c>
      <c r="E101" s="26" t="s">
        <v>68</v>
      </c>
      <c r="F101" s="27">
        <v>32.8</v>
      </c>
      <c r="G101" s="28"/>
      <c r="H101" s="28"/>
      <c r="I101" s="52"/>
      <c r="J101" s="52"/>
      <c r="K101" s="52"/>
      <c r="L101" s="52"/>
      <c r="M101" s="55"/>
    </row>
    <row r="102" s="5" customFormat="1" ht="35" customHeight="1" outlineLevel="1" spans="1:13">
      <c r="A102" s="22">
        <v>4</v>
      </c>
      <c r="B102" s="32" t="s">
        <v>125</v>
      </c>
      <c r="C102" s="33" t="s">
        <v>126</v>
      </c>
      <c r="D102" s="25" t="s">
        <v>67</v>
      </c>
      <c r="E102" s="26" t="s">
        <v>68</v>
      </c>
      <c r="F102" s="27">
        <f>32.8*1.2+29.95*1.1</f>
        <v>72.305</v>
      </c>
      <c r="G102" s="28"/>
      <c r="H102" s="28"/>
      <c r="I102" s="52"/>
      <c r="J102" s="52"/>
      <c r="K102" s="52"/>
      <c r="L102" s="52"/>
      <c r="M102" s="55"/>
    </row>
    <row r="103" s="5" customFormat="1" ht="36" customHeight="1" outlineLevel="1" spans="1:13">
      <c r="A103" s="22">
        <v>5</v>
      </c>
      <c r="B103" s="35" t="s">
        <v>248</v>
      </c>
      <c r="C103" s="58" t="s">
        <v>249</v>
      </c>
      <c r="D103" s="37" t="s">
        <v>250</v>
      </c>
      <c r="E103" s="38" t="s">
        <v>130</v>
      </c>
      <c r="F103" s="27">
        <v>24.6</v>
      </c>
      <c r="G103" s="28"/>
      <c r="H103" s="28"/>
      <c r="I103" s="52"/>
      <c r="J103" s="52"/>
      <c r="K103" s="52"/>
      <c r="L103" s="52"/>
      <c r="M103" s="55"/>
    </row>
    <row r="104" s="5" customFormat="1" ht="36" customHeight="1" outlineLevel="1" spans="1:13">
      <c r="A104" s="22">
        <v>6</v>
      </c>
      <c r="B104" s="34" t="s">
        <v>251</v>
      </c>
      <c r="C104" s="33" t="s">
        <v>252</v>
      </c>
      <c r="D104" s="25" t="s">
        <v>67</v>
      </c>
      <c r="E104" s="26" t="s">
        <v>68</v>
      </c>
      <c r="F104" s="27">
        <v>59.72</v>
      </c>
      <c r="G104" s="28"/>
      <c r="H104" s="28"/>
      <c r="I104" s="52"/>
      <c r="J104" s="52"/>
      <c r="K104" s="52"/>
      <c r="L104" s="52"/>
      <c r="M104" s="55"/>
    </row>
    <row r="105" s="5" customFormat="1" ht="25" customHeight="1" spans="1:13">
      <c r="A105" s="17" t="s">
        <v>253</v>
      </c>
      <c r="B105" s="17" t="s">
        <v>254</v>
      </c>
      <c r="C105" s="18"/>
      <c r="D105" s="25"/>
      <c r="E105" s="25"/>
      <c r="F105" s="26"/>
      <c r="G105" s="29"/>
      <c r="H105" s="30"/>
      <c r="I105" s="52"/>
      <c r="J105" s="52"/>
      <c r="K105" s="52"/>
      <c r="L105" s="52"/>
      <c r="M105" s="55"/>
    </row>
    <row r="106" s="3" customFormat="1" ht="95" customHeight="1" outlineLevel="1" spans="1:13">
      <c r="A106" s="22">
        <v>1</v>
      </c>
      <c r="B106" s="23" t="s">
        <v>255</v>
      </c>
      <c r="C106" s="24" t="s">
        <v>256</v>
      </c>
      <c r="D106" s="25" t="s">
        <v>67</v>
      </c>
      <c r="E106" s="26" t="s">
        <v>68</v>
      </c>
      <c r="F106" s="27">
        <f>+(6.79*8+16*4-2*4-1.5*6)*2.4*4</f>
        <v>972.672</v>
      </c>
      <c r="G106" s="28"/>
      <c r="H106" s="28"/>
      <c r="I106" s="52"/>
      <c r="J106" s="52"/>
      <c r="K106" s="52"/>
      <c r="L106" s="52"/>
      <c r="M106" s="55"/>
    </row>
    <row r="107" s="3" customFormat="1" ht="95" customHeight="1" outlineLevel="1" spans="1:13">
      <c r="A107" s="22">
        <v>2</v>
      </c>
      <c r="B107" s="23" t="s">
        <v>257</v>
      </c>
      <c r="C107" s="24" t="s">
        <v>258</v>
      </c>
      <c r="D107" s="25" t="s">
        <v>67</v>
      </c>
      <c r="E107" s="26" t="s">
        <v>68</v>
      </c>
      <c r="F107" s="27">
        <f>2*1.5+2.4*2.4+13*2.4-1.5*2.3*2-1.2*2.4*3+5.1*2.4-1.22*2.4-1*2.3+5.1*2.4+10.4*2.4</f>
        <v>68.632</v>
      </c>
      <c r="G107" s="28"/>
      <c r="H107" s="28"/>
      <c r="I107" s="52"/>
      <c r="J107" s="52"/>
      <c r="K107" s="52"/>
      <c r="L107" s="52"/>
      <c r="M107" s="55"/>
    </row>
    <row r="108" s="5" customFormat="1" ht="36" customHeight="1" outlineLevel="1" spans="1:13">
      <c r="A108" s="22">
        <v>3</v>
      </c>
      <c r="B108" s="34" t="s">
        <v>259</v>
      </c>
      <c r="C108" s="33" t="s">
        <v>260</v>
      </c>
      <c r="D108" s="25" t="s">
        <v>67</v>
      </c>
      <c r="E108" s="26" t="s">
        <v>68</v>
      </c>
      <c r="F108" s="27">
        <f>8.58*2.85+1.2*2.85*6</f>
        <v>44.973</v>
      </c>
      <c r="G108" s="28"/>
      <c r="H108" s="28"/>
      <c r="I108" s="52"/>
      <c r="J108" s="52"/>
      <c r="K108" s="52"/>
      <c r="L108" s="52"/>
      <c r="M108" s="55"/>
    </row>
    <row r="109" s="6" customFormat="1" ht="42" customHeight="1" outlineLevel="1" spans="1:13">
      <c r="A109" s="22">
        <v>4</v>
      </c>
      <c r="B109" s="42" t="s">
        <v>165</v>
      </c>
      <c r="C109" s="33" t="s">
        <v>166</v>
      </c>
      <c r="D109" s="37" t="s">
        <v>129</v>
      </c>
      <c r="E109" s="38" t="s">
        <v>130</v>
      </c>
      <c r="F109" s="43">
        <v>13</v>
      </c>
      <c r="G109" s="28"/>
      <c r="H109" s="28"/>
      <c r="I109" s="52"/>
      <c r="J109" s="52"/>
      <c r="K109" s="52"/>
      <c r="L109" s="52"/>
      <c r="M109" s="55"/>
    </row>
    <row r="110" s="6" customFormat="1" ht="42" customHeight="1" outlineLevel="1" spans="1:13">
      <c r="A110" s="22">
        <v>5</v>
      </c>
      <c r="B110" s="42" t="s">
        <v>238</v>
      </c>
      <c r="C110" s="33" t="s">
        <v>239</v>
      </c>
      <c r="D110" s="37" t="s">
        <v>240</v>
      </c>
      <c r="E110" s="38" t="s">
        <v>68</v>
      </c>
      <c r="F110" s="43">
        <f>(0.27*2.4*2+0.36*1.22)*2</f>
        <v>3.4704</v>
      </c>
      <c r="G110" s="28"/>
      <c r="H110" s="28"/>
      <c r="I110" s="52"/>
      <c r="J110" s="52"/>
      <c r="K110" s="52"/>
      <c r="L110" s="52"/>
      <c r="M110" s="55"/>
    </row>
    <row r="111" s="5" customFormat="1" ht="34" customHeight="1" outlineLevel="1" spans="1:13">
      <c r="A111" s="22">
        <v>6</v>
      </c>
      <c r="B111" s="44" t="s">
        <v>186</v>
      </c>
      <c r="C111" s="45" t="s">
        <v>187</v>
      </c>
      <c r="D111" s="25" t="s">
        <v>67</v>
      </c>
      <c r="E111" s="26" t="s">
        <v>68</v>
      </c>
      <c r="F111" s="43">
        <f>54.68*2.9*4+26.7*2.9</f>
        <v>711.718</v>
      </c>
      <c r="G111" s="28"/>
      <c r="H111" s="28"/>
      <c r="I111" s="52"/>
      <c r="J111" s="52"/>
      <c r="K111" s="52"/>
      <c r="L111" s="52"/>
      <c r="M111" s="55"/>
    </row>
    <row r="112" s="5" customFormat="1" ht="25" customHeight="1" outlineLevel="1" spans="1:13">
      <c r="A112" s="22">
        <v>7</v>
      </c>
      <c r="B112" s="44" t="s">
        <v>261</v>
      </c>
      <c r="C112" s="59" t="s">
        <v>262</v>
      </c>
      <c r="D112" s="25" t="s">
        <v>234</v>
      </c>
      <c r="E112" s="60" t="s">
        <v>130</v>
      </c>
      <c r="F112" s="43">
        <f>54.68*4+26.7</f>
        <v>245.42</v>
      </c>
      <c r="G112" s="28"/>
      <c r="H112" s="28"/>
      <c r="I112" s="52"/>
      <c r="J112" s="52"/>
      <c r="K112" s="52"/>
      <c r="L112" s="52"/>
      <c r="M112" s="55"/>
    </row>
    <row r="113" s="5" customFormat="1" ht="34" customHeight="1" outlineLevel="1" spans="1:13">
      <c r="A113" s="22">
        <v>8</v>
      </c>
      <c r="B113" s="44" t="s">
        <v>192</v>
      </c>
      <c r="C113" s="45" t="s">
        <v>193</v>
      </c>
      <c r="D113" s="25" t="s">
        <v>67</v>
      </c>
      <c r="E113" s="26" t="s">
        <v>68</v>
      </c>
      <c r="F113" s="43">
        <f>28.7*2.4*2</f>
        <v>137.76</v>
      </c>
      <c r="G113" s="28"/>
      <c r="H113" s="28"/>
      <c r="I113" s="52"/>
      <c r="J113" s="52"/>
      <c r="K113" s="52"/>
      <c r="L113" s="52"/>
      <c r="M113" s="55"/>
    </row>
    <row r="114" s="2" customFormat="1" ht="48" spans="1:13">
      <c r="A114" s="22">
        <v>9</v>
      </c>
      <c r="B114" s="23" t="s">
        <v>263</v>
      </c>
      <c r="C114" s="24" t="s">
        <v>264</v>
      </c>
      <c r="D114" s="25" t="s">
        <v>67</v>
      </c>
      <c r="E114" s="26" t="s">
        <v>68</v>
      </c>
      <c r="F114" s="27">
        <f>1.29*2.9*4-1*2.3</f>
        <v>12.664</v>
      </c>
      <c r="G114" s="28"/>
      <c r="H114" s="28"/>
      <c r="I114" s="52"/>
      <c r="J114" s="52"/>
      <c r="K114" s="52"/>
      <c r="L114" s="52"/>
      <c r="M114" s="55"/>
    </row>
    <row r="115" s="6" customFormat="1" ht="25" customHeight="1" outlineLevel="1" spans="1:13">
      <c r="A115" s="22">
        <v>10</v>
      </c>
      <c r="B115" s="46" t="s">
        <v>265</v>
      </c>
      <c r="C115" s="61" t="s">
        <v>266</v>
      </c>
      <c r="D115" s="25" t="s">
        <v>67</v>
      </c>
      <c r="E115" s="26" t="s">
        <v>68</v>
      </c>
      <c r="F115" s="43">
        <f>+$F$114*2</f>
        <v>25.328</v>
      </c>
      <c r="G115" s="28"/>
      <c r="H115" s="28"/>
      <c r="I115" s="52"/>
      <c r="J115" s="52"/>
      <c r="K115" s="52"/>
      <c r="L115" s="52"/>
      <c r="M115" s="55"/>
    </row>
    <row r="116" s="2" customFormat="1" ht="25" customHeight="1" spans="1:13">
      <c r="A116" s="62" t="s">
        <v>267</v>
      </c>
      <c r="B116" s="17" t="s">
        <v>268</v>
      </c>
      <c r="C116" s="18"/>
      <c r="D116" s="25"/>
      <c r="E116" s="25"/>
      <c r="F116" s="26"/>
      <c r="G116" s="29"/>
      <c r="H116" s="30"/>
      <c r="I116" s="52"/>
      <c r="J116" s="52"/>
      <c r="K116" s="52"/>
      <c r="L116" s="52"/>
      <c r="M116" s="55"/>
    </row>
    <row r="117" s="6" customFormat="1" ht="25" customHeight="1" outlineLevel="1" spans="1:16">
      <c r="A117" s="22">
        <v>1</v>
      </c>
      <c r="B117" s="25" t="s">
        <v>269</v>
      </c>
      <c r="C117" s="63" t="s">
        <v>270</v>
      </c>
      <c r="D117" s="25" t="s">
        <v>271</v>
      </c>
      <c r="E117" s="26" t="s">
        <v>68</v>
      </c>
      <c r="F117" s="43">
        <v>26478.34</v>
      </c>
      <c r="G117" s="28"/>
      <c r="H117" s="28"/>
      <c r="I117" s="52"/>
      <c r="J117" s="52"/>
      <c r="K117" s="52"/>
      <c r="L117" s="52"/>
      <c r="M117" s="55"/>
      <c r="O117" s="6">
        <f>23240</f>
        <v>23240</v>
      </c>
      <c r="P117" s="6">
        <f>805*4</f>
        <v>3220</v>
      </c>
    </row>
    <row r="118" s="6" customFormat="1" ht="25" customHeight="1" outlineLevel="1" spans="1:13">
      <c r="A118" s="22">
        <v>2</v>
      </c>
      <c r="B118" s="25" t="s">
        <v>272</v>
      </c>
      <c r="C118" s="63" t="s">
        <v>273</v>
      </c>
      <c r="D118" s="25" t="s">
        <v>271</v>
      </c>
      <c r="E118" s="26" t="s">
        <v>68</v>
      </c>
      <c r="F118" s="43">
        <f>+$F$117</f>
        <v>26478.34</v>
      </c>
      <c r="G118" s="28"/>
      <c r="H118" s="28"/>
      <c r="I118" s="52"/>
      <c r="J118" s="52"/>
      <c r="K118" s="52"/>
      <c r="L118" s="52"/>
      <c r="M118" s="55"/>
    </row>
    <row r="119" s="6" customFormat="1" ht="25" customHeight="1" outlineLevel="1" spans="1:13">
      <c r="A119" s="22">
        <v>3</v>
      </c>
      <c r="B119" s="25" t="s">
        <v>274</v>
      </c>
      <c r="C119" s="63" t="s">
        <v>275</v>
      </c>
      <c r="D119" s="25" t="s">
        <v>271</v>
      </c>
      <c r="E119" s="26" t="s">
        <v>68</v>
      </c>
      <c r="F119" s="43">
        <f>+$F$117</f>
        <v>26478.34</v>
      </c>
      <c r="G119" s="28"/>
      <c r="H119" s="28"/>
      <c r="I119" s="52"/>
      <c r="J119" s="52"/>
      <c r="K119" s="52"/>
      <c r="L119" s="52"/>
      <c r="M119" s="55"/>
    </row>
    <row r="120" s="6" customFormat="1" ht="25" customHeight="1" outlineLevel="1" spans="1:13">
      <c r="A120" s="22">
        <v>4</v>
      </c>
      <c r="B120" s="76" t="s">
        <v>276</v>
      </c>
      <c r="C120" s="76" t="s">
        <v>277</v>
      </c>
      <c r="D120" s="25" t="s">
        <v>271</v>
      </c>
      <c r="E120" s="26" t="s">
        <v>68</v>
      </c>
      <c r="F120" s="43">
        <f>+$F$117</f>
        <v>26478.34</v>
      </c>
      <c r="G120" s="28"/>
      <c r="H120" s="28"/>
      <c r="I120" s="52"/>
      <c r="J120" s="52"/>
      <c r="K120" s="52"/>
      <c r="L120" s="52"/>
      <c r="M120" s="55"/>
    </row>
    <row r="121" s="6" customFormat="1" ht="57" customHeight="1" outlineLevel="1" spans="1:13">
      <c r="A121" s="22">
        <v>5</v>
      </c>
      <c r="B121" s="25" t="s">
        <v>278</v>
      </c>
      <c r="C121" s="63" t="s">
        <v>279</v>
      </c>
      <c r="D121" s="25" t="s">
        <v>280</v>
      </c>
      <c r="E121" s="26" t="s">
        <v>281</v>
      </c>
      <c r="F121" s="43">
        <v>1</v>
      </c>
      <c r="G121" s="28"/>
      <c r="H121" s="28"/>
      <c r="I121" s="52"/>
      <c r="J121" s="52"/>
      <c r="K121" s="52"/>
      <c r="L121" s="52"/>
      <c r="M121" s="86"/>
    </row>
    <row r="122" ht="25" customHeight="1" spans="1:13">
      <c r="A122" s="64"/>
      <c r="B122" s="65" t="s">
        <v>282</v>
      </c>
      <c r="C122" s="66"/>
      <c r="D122" s="67"/>
      <c r="E122" s="67"/>
      <c r="F122" s="67"/>
      <c r="G122" s="68"/>
      <c r="H122" s="69"/>
      <c r="I122" s="69"/>
      <c r="J122" s="69"/>
      <c r="K122" s="69"/>
      <c r="L122" s="48"/>
      <c r="M122" s="87"/>
    </row>
    <row r="123" ht="20.1" customHeight="1" spans="1:7">
      <c r="A123" s="93"/>
      <c r="B123" s="93"/>
      <c r="C123" s="94"/>
      <c r="D123" s="93"/>
      <c r="E123" s="93"/>
      <c r="F123" s="93"/>
      <c r="G123" s="93"/>
    </row>
    <row r="124" ht="20.1" customHeight="1"/>
    <row r="125" ht="20.1" customHeight="1"/>
    <row r="126" ht="20.1" customHeight="1"/>
    <row r="127" ht="20.1" customHeight="1"/>
    <row r="128" ht="20.1" customHeight="1"/>
    <row r="129" ht="20.1" customHeight="1"/>
    <row r="130" ht="20.1" customHeight="1"/>
    <row r="131" ht="20.1" customHeight="1"/>
    <row r="132" ht="20.1" customHeight="1"/>
    <row r="133" ht="20.1" customHeight="1"/>
    <row r="134" ht="20.1" customHeight="1"/>
    <row r="135" ht="20.1" customHeight="1"/>
    <row r="136" ht="20.1" customHeight="1"/>
    <row r="137" ht="20.1" customHeight="1"/>
    <row r="138" ht="20.1" customHeight="1"/>
    <row r="139" ht="20.1" customHeight="1"/>
    <row r="140" ht="20.1" customHeight="1"/>
    <row r="141" ht="20.1" customHeight="1"/>
    <row r="142" ht="20.1" customHeight="1"/>
  </sheetData>
  <autoFilter ref="A2:M122">
    <extLst/>
  </autoFilter>
  <mergeCells count="25">
    <mergeCell ref="A1:M1"/>
    <mergeCell ref="G2:J2"/>
    <mergeCell ref="B5:C5"/>
    <mergeCell ref="B18:C18"/>
    <mergeCell ref="B37:C37"/>
    <mergeCell ref="B72:C72"/>
    <mergeCell ref="B77:C77"/>
    <mergeCell ref="B83:C83"/>
    <mergeCell ref="B94:C94"/>
    <mergeCell ref="B98:C98"/>
    <mergeCell ref="B105:C105"/>
    <mergeCell ref="B116:C116"/>
    <mergeCell ref="B122:C122"/>
    <mergeCell ref="A2:A4"/>
    <mergeCell ref="B2:B4"/>
    <mergeCell ref="C2:C4"/>
    <mergeCell ref="D2:D4"/>
    <mergeCell ref="E2:E4"/>
    <mergeCell ref="F2:F4"/>
    <mergeCell ref="G3:G4"/>
    <mergeCell ref="H3:H4"/>
    <mergeCell ref="K2:K4"/>
    <mergeCell ref="L2:L4"/>
    <mergeCell ref="M2:M4"/>
    <mergeCell ref="M6:M121"/>
  </mergeCells>
  <printOptions horizontalCentered="1" verticalCentered="1"/>
  <pageMargins left="0" right="0" top="0" bottom="0" header="0.511811023622047" footer="0.511811023622047"/>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5"/>
  <sheetViews>
    <sheetView tabSelected="1" view="pageBreakPreview" zoomScale="90" zoomScaleNormal="100" workbookViewId="0">
      <pane ySplit="4" topLeftCell="A94" activePane="bottomLeft" state="frozen"/>
      <selection/>
      <selection pane="bottomLeft" activeCell="I99" sqref="I99"/>
    </sheetView>
  </sheetViews>
  <sheetFormatPr defaultColWidth="9" defaultRowHeight="12"/>
  <cols>
    <col min="1" max="1" width="5.62727272727273" style="8" customWidth="1"/>
    <col min="2" max="2" width="15.6272727272727" style="8" customWidth="1"/>
    <col min="3" max="3" width="30.1272727272727" style="9" customWidth="1"/>
    <col min="4" max="4" width="15.6272727272727" style="8" customWidth="1"/>
    <col min="5" max="5" width="5.62727272727273" style="8" customWidth="1"/>
    <col min="6" max="12" width="10.6272727272727" style="8" customWidth="1"/>
    <col min="13" max="13" width="28" style="9" customWidth="1"/>
    <col min="14" max="16" width="9" style="8"/>
    <col min="17" max="17" width="9.62727272727273" style="8"/>
    <col min="18" max="16384" width="9" style="8"/>
  </cols>
  <sheetData>
    <row r="1" ht="30" customHeight="1" spans="1:13">
      <c r="A1" s="10" t="s">
        <v>49</v>
      </c>
      <c r="B1" s="10"/>
      <c r="C1" s="11"/>
      <c r="D1" s="10"/>
      <c r="E1" s="10"/>
      <c r="F1" s="10"/>
      <c r="G1" s="10"/>
      <c r="H1" s="10"/>
      <c r="I1" s="10"/>
      <c r="J1" s="10"/>
      <c r="K1" s="10"/>
      <c r="L1" s="10"/>
      <c r="M1" s="11"/>
    </row>
    <row r="2" ht="20" customHeight="1" spans="1:13">
      <c r="A2" s="12" t="s">
        <v>38</v>
      </c>
      <c r="B2" s="12" t="s">
        <v>50</v>
      </c>
      <c r="C2" s="12" t="s">
        <v>51</v>
      </c>
      <c r="D2" s="12" t="s">
        <v>52</v>
      </c>
      <c r="E2" s="12" t="s">
        <v>53</v>
      </c>
      <c r="F2" s="12" t="s">
        <v>54</v>
      </c>
      <c r="G2" s="12" t="s">
        <v>55</v>
      </c>
      <c r="H2" s="13"/>
      <c r="I2" s="12"/>
      <c r="J2" s="48"/>
      <c r="K2" s="48" t="s">
        <v>56</v>
      </c>
      <c r="L2" s="48" t="s">
        <v>57</v>
      </c>
      <c r="M2" s="12" t="s">
        <v>58</v>
      </c>
    </row>
    <row r="3" ht="15" customHeight="1" spans="1:13">
      <c r="A3" s="12"/>
      <c r="B3" s="12"/>
      <c r="C3" s="12"/>
      <c r="D3" s="12"/>
      <c r="E3" s="12"/>
      <c r="F3" s="12"/>
      <c r="G3" s="12" t="s">
        <v>59</v>
      </c>
      <c r="H3" s="12" t="s">
        <v>60</v>
      </c>
      <c r="I3" s="48" t="s">
        <v>61</v>
      </c>
      <c r="J3" s="48" t="s">
        <v>62</v>
      </c>
      <c r="K3" s="48"/>
      <c r="L3" s="48"/>
      <c r="M3" s="12"/>
    </row>
    <row r="4" ht="15" customHeight="1" spans="1:13">
      <c r="A4" s="12"/>
      <c r="B4" s="12"/>
      <c r="C4" s="12"/>
      <c r="D4" s="12"/>
      <c r="E4" s="12"/>
      <c r="F4" s="12"/>
      <c r="G4" s="12"/>
      <c r="H4" s="12"/>
      <c r="I4" s="49"/>
      <c r="J4" s="49">
        <v>0.03</v>
      </c>
      <c r="K4" s="48"/>
      <c r="L4" s="48"/>
      <c r="M4" s="12"/>
    </row>
    <row r="5" s="1" customFormat="1" ht="26" customHeight="1" spans="1:13">
      <c r="A5" s="14" t="s">
        <v>63</v>
      </c>
      <c r="B5" s="15" t="s">
        <v>283</v>
      </c>
      <c r="C5" s="16"/>
      <c r="D5" s="14"/>
      <c r="E5" s="14"/>
      <c r="F5" s="14"/>
      <c r="G5" s="14"/>
      <c r="H5" s="14"/>
      <c r="I5" s="50"/>
      <c r="J5" s="50"/>
      <c r="K5" s="51"/>
      <c r="L5" s="51"/>
      <c r="M5" s="14"/>
    </row>
    <row r="6" s="2" customFormat="1" ht="25" customHeight="1" spans="1:13">
      <c r="A6" s="17"/>
      <c r="B6" s="17" t="s">
        <v>64</v>
      </c>
      <c r="C6" s="18"/>
      <c r="D6" s="19"/>
      <c r="E6" s="19"/>
      <c r="F6" s="19"/>
      <c r="G6" s="20"/>
      <c r="H6" s="21"/>
      <c r="I6" s="21"/>
      <c r="J6" s="21"/>
      <c r="K6" s="21"/>
      <c r="L6" s="52"/>
      <c r="M6" s="53"/>
    </row>
    <row r="7" s="2" customFormat="1" ht="72" customHeight="1" spans="1:13">
      <c r="A7" s="22">
        <v>1</v>
      </c>
      <c r="B7" s="23" t="s">
        <v>65</v>
      </c>
      <c r="C7" s="24" t="s">
        <v>66</v>
      </c>
      <c r="D7" s="25" t="s">
        <v>67</v>
      </c>
      <c r="E7" s="26" t="s">
        <v>68</v>
      </c>
      <c r="F7" s="27">
        <f>(15.3+10.5+8.2*2+6.15)*3</f>
        <v>145.05</v>
      </c>
      <c r="G7" s="28"/>
      <c r="H7" s="28"/>
      <c r="I7" s="52"/>
      <c r="J7" s="52"/>
      <c r="K7" s="52"/>
      <c r="L7" s="52"/>
      <c r="M7" s="54" t="s">
        <v>284</v>
      </c>
    </row>
    <row r="8" s="3" customFormat="1" ht="72" customHeight="1" outlineLevel="1" spans="1:13">
      <c r="A8" s="22">
        <v>2</v>
      </c>
      <c r="B8" s="23" t="s">
        <v>70</v>
      </c>
      <c r="C8" s="24" t="s">
        <v>71</v>
      </c>
      <c r="D8" s="25" t="s">
        <v>67</v>
      </c>
      <c r="E8" s="26" t="s">
        <v>68</v>
      </c>
      <c r="F8" s="27">
        <f>111.28+334.02+47.2+90.62+50.05+228.18+147+473.8+743-32*3+30+125.9+28.73+11.04+149.17+83.5</f>
        <v>2557.49</v>
      </c>
      <c r="G8" s="28"/>
      <c r="H8" s="28"/>
      <c r="I8" s="52"/>
      <c r="J8" s="52"/>
      <c r="K8" s="52"/>
      <c r="L8" s="52"/>
      <c r="M8" s="55"/>
    </row>
    <row r="9" s="3" customFormat="1" ht="72" customHeight="1" outlineLevel="1" spans="1:13">
      <c r="A9" s="22">
        <v>3</v>
      </c>
      <c r="B9" s="23" t="s">
        <v>72</v>
      </c>
      <c r="C9" s="24" t="s">
        <v>73</v>
      </c>
      <c r="D9" s="25" t="s">
        <v>67</v>
      </c>
      <c r="E9" s="26" t="s">
        <v>68</v>
      </c>
      <c r="F9" s="27">
        <f>144.74+74.15+89.68+99.2</f>
        <v>407.77</v>
      </c>
      <c r="G9" s="28"/>
      <c r="H9" s="28"/>
      <c r="I9" s="52"/>
      <c r="J9" s="52"/>
      <c r="K9" s="52"/>
      <c r="L9" s="52"/>
      <c r="M9" s="55"/>
    </row>
    <row r="10" s="3" customFormat="1" ht="72" customHeight="1" outlineLevel="1" spans="1:13">
      <c r="A10" s="22">
        <v>4</v>
      </c>
      <c r="B10" s="23" t="s">
        <v>74</v>
      </c>
      <c r="C10" s="24" t="s">
        <v>75</v>
      </c>
      <c r="D10" s="25" t="s">
        <v>76</v>
      </c>
      <c r="E10" s="26" t="s">
        <v>68</v>
      </c>
      <c r="F10" s="27">
        <f>38.8+66.15+62.3+32*6+28.14*2</f>
        <v>415.53</v>
      </c>
      <c r="G10" s="28"/>
      <c r="H10" s="28"/>
      <c r="I10" s="52"/>
      <c r="J10" s="52"/>
      <c r="K10" s="52"/>
      <c r="L10" s="52"/>
      <c r="M10" s="55"/>
    </row>
    <row r="11" s="3" customFormat="1" ht="72" customHeight="1" outlineLevel="1" spans="1:13">
      <c r="A11" s="22">
        <v>5</v>
      </c>
      <c r="B11" s="23" t="s">
        <v>77</v>
      </c>
      <c r="C11" s="24" t="s">
        <v>78</v>
      </c>
      <c r="D11" s="25" t="s">
        <v>67</v>
      </c>
      <c r="E11" s="26" t="s">
        <v>68</v>
      </c>
      <c r="F11" s="27">
        <f>487.9+145.13</f>
        <v>633.03</v>
      </c>
      <c r="G11" s="28"/>
      <c r="H11" s="28"/>
      <c r="I11" s="52"/>
      <c r="J11" s="52"/>
      <c r="K11" s="52"/>
      <c r="L11" s="52"/>
      <c r="M11" s="55"/>
    </row>
    <row r="12" s="4" customFormat="1" ht="72" customHeight="1" outlineLevel="1" spans="1:13">
      <c r="A12" s="22">
        <v>6</v>
      </c>
      <c r="B12" s="23" t="s">
        <v>79</v>
      </c>
      <c r="C12" s="24" t="s">
        <v>80</v>
      </c>
      <c r="D12" s="23" t="s">
        <v>67</v>
      </c>
      <c r="E12" s="26" t="s">
        <v>68</v>
      </c>
      <c r="F12" s="27">
        <f>0.28*39</f>
        <v>10.92</v>
      </c>
      <c r="G12" s="28"/>
      <c r="H12" s="28"/>
      <c r="I12" s="52"/>
      <c r="J12" s="52"/>
      <c r="K12" s="52"/>
      <c r="L12" s="52"/>
      <c r="M12" s="55"/>
    </row>
    <row r="13" s="4" customFormat="1" ht="72" customHeight="1" outlineLevel="1" spans="1:13">
      <c r="A13" s="22">
        <v>7</v>
      </c>
      <c r="B13" s="23" t="s">
        <v>81</v>
      </c>
      <c r="C13" s="24" t="s">
        <v>82</v>
      </c>
      <c r="D13" s="23" t="s">
        <v>67</v>
      </c>
      <c r="E13" s="26" t="s">
        <v>68</v>
      </c>
      <c r="F13" s="27">
        <v>1</v>
      </c>
      <c r="G13" s="29"/>
      <c r="H13" s="30"/>
      <c r="I13" s="52"/>
      <c r="J13" s="52"/>
      <c r="K13" s="52"/>
      <c r="L13" s="52"/>
      <c r="M13" s="55"/>
    </row>
    <row r="14" s="4" customFormat="1" ht="72" customHeight="1" outlineLevel="1" spans="1:13">
      <c r="A14" s="22">
        <v>8</v>
      </c>
      <c r="B14" s="23" t="s">
        <v>83</v>
      </c>
      <c r="C14" s="24" t="s">
        <v>84</v>
      </c>
      <c r="D14" s="23" t="s">
        <v>67</v>
      </c>
      <c r="E14" s="26" t="s">
        <v>68</v>
      </c>
      <c r="F14" s="27">
        <v>1</v>
      </c>
      <c r="G14" s="29"/>
      <c r="H14" s="30"/>
      <c r="I14" s="52"/>
      <c r="J14" s="52"/>
      <c r="K14" s="52"/>
      <c r="L14" s="52"/>
      <c r="M14" s="55"/>
    </row>
    <row r="15" s="4" customFormat="1" ht="72" customHeight="1" outlineLevel="1" spans="1:13">
      <c r="A15" s="22">
        <v>10</v>
      </c>
      <c r="B15" s="23" t="s">
        <v>87</v>
      </c>
      <c r="C15" s="24" t="s">
        <v>88</v>
      </c>
      <c r="D15" s="31" t="s">
        <v>67</v>
      </c>
      <c r="E15" s="26" t="s">
        <v>89</v>
      </c>
      <c r="F15" s="27">
        <v>1</v>
      </c>
      <c r="G15" s="29"/>
      <c r="H15" s="30"/>
      <c r="I15" s="52"/>
      <c r="J15" s="52"/>
      <c r="K15" s="52"/>
      <c r="L15" s="52"/>
      <c r="M15" s="55"/>
    </row>
    <row r="16" s="4" customFormat="1" ht="72" customHeight="1" outlineLevel="1" spans="1:13">
      <c r="A16" s="22">
        <v>11</v>
      </c>
      <c r="B16" s="23" t="s">
        <v>87</v>
      </c>
      <c r="C16" s="24" t="s">
        <v>90</v>
      </c>
      <c r="D16" s="31" t="s">
        <v>67</v>
      </c>
      <c r="E16" s="26" t="s">
        <v>89</v>
      </c>
      <c r="F16" s="27">
        <v>1</v>
      </c>
      <c r="G16" s="29"/>
      <c r="H16" s="30"/>
      <c r="I16" s="52"/>
      <c r="J16" s="52"/>
      <c r="K16" s="52"/>
      <c r="L16" s="52"/>
      <c r="M16" s="55"/>
    </row>
    <row r="17" s="4" customFormat="1" ht="72" customHeight="1" outlineLevel="1" spans="1:13">
      <c r="A17" s="22">
        <v>12</v>
      </c>
      <c r="B17" s="23" t="s">
        <v>91</v>
      </c>
      <c r="C17" s="24" t="s">
        <v>92</v>
      </c>
      <c r="D17" s="25" t="s">
        <v>93</v>
      </c>
      <c r="E17" s="26" t="s">
        <v>94</v>
      </c>
      <c r="F17" s="27">
        <v>1</v>
      </c>
      <c r="G17" s="29"/>
      <c r="H17" s="30"/>
      <c r="I17" s="52"/>
      <c r="J17" s="52"/>
      <c r="K17" s="52"/>
      <c r="L17" s="52"/>
      <c r="M17" s="55"/>
    </row>
    <row r="18" s="5" customFormat="1" ht="22" customHeight="1" spans="1:13">
      <c r="A18" s="17"/>
      <c r="B18" s="17" t="s">
        <v>96</v>
      </c>
      <c r="C18" s="18"/>
      <c r="D18" s="25"/>
      <c r="E18" s="25"/>
      <c r="F18" s="26"/>
      <c r="G18" s="29"/>
      <c r="H18" s="30"/>
      <c r="I18" s="52"/>
      <c r="J18" s="52"/>
      <c r="K18" s="52"/>
      <c r="L18" s="52"/>
      <c r="M18" s="55"/>
    </row>
    <row r="19" s="5" customFormat="1" ht="72" customHeight="1" outlineLevel="1" spans="1:13">
      <c r="A19" s="22">
        <v>1</v>
      </c>
      <c r="B19" s="32" t="s">
        <v>97</v>
      </c>
      <c r="C19" s="33" t="s">
        <v>98</v>
      </c>
      <c r="D19" s="25" t="s">
        <v>76</v>
      </c>
      <c r="E19" s="26" t="s">
        <v>68</v>
      </c>
      <c r="F19" s="27">
        <v>1</v>
      </c>
      <c r="G19" s="28"/>
      <c r="H19" s="28"/>
      <c r="I19" s="52"/>
      <c r="J19" s="52"/>
      <c r="K19" s="52"/>
      <c r="L19" s="52"/>
      <c r="M19" s="55"/>
    </row>
    <row r="20" s="5" customFormat="1" ht="72" customHeight="1" outlineLevel="1" spans="1:13">
      <c r="A20" s="22">
        <v>2</v>
      </c>
      <c r="B20" s="32" t="s">
        <v>99</v>
      </c>
      <c r="C20" s="33" t="s">
        <v>100</v>
      </c>
      <c r="D20" s="25" t="s">
        <v>76</v>
      </c>
      <c r="E20" s="26" t="s">
        <v>68</v>
      </c>
      <c r="F20" s="27">
        <v>1</v>
      </c>
      <c r="G20" s="28"/>
      <c r="H20" s="28"/>
      <c r="I20" s="52"/>
      <c r="J20" s="52"/>
      <c r="K20" s="52"/>
      <c r="L20" s="52"/>
      <c r="M20" s="55"/>
    </row>
    <row r="21" s="5" customFormat="1" ht="72" customHeight="1" outlineLevel="1" spans="1:13">
      <c r="A21" s="22">
        <v>3</v>
      </c>
      <c r="B21" s="32" t="s">
        <v>101</v>
      </c>
      <c r="C21" s="33" t="s">
        <v>102</v>
      </c>
      <c r="D21" s="25" t="s">
        <v>103</v>
      </c>
      <c r="E21" s="26" t="s">
        <v>104</v>
      </c>
      <c r="F21" s="27">
        <v>1326</v>
      </c>
      <c r="G21" s="28"/>
      <c r="H21" s="28"/>
      <c r="I21" s="52"/>
      <c r="J21" s="52"/>
      <c r="K21" s="52"/>
      <c r="L21" s="52"/>
      <c r="M21" s="55"/>
    </row>
    <row r="22" s="5" customFormat="1" ht="72" customHeight="1" outlineLevel="1" spans="1:13">
      <c r="A22" s="22">
        <v>4</v>
      </c>
      <c r="B22" s="32" t="s">
        <v>105</v>
      </c>
      <c r="C22" s="33" t="s">
        <v>106</v>
      </c>
      <c r="D22" s="25" t="s">
        <v>76</v>
      </c>
      <c r="E22" s="26" t="s">
        <v>68</v>
      </c>
      <c r="F22" s="27">
        <f>+(29.4+16.4)*2*10*1.5+41.5+104</f>
        <v>1519.5</v>
      </c>
      <c r="G22" s="28"/>
      <c r="H22" s="28"/>
      <c r="I22" s="52"/>
      <c r="J22" s="52"/>
      <c r="K22" s="52"/>
      <c r="L22" s="52"/>
      <c r="M22" s="55"/>
    </row>
    <row r="23" s="5" customFormat="1" ht="72" customHeight="1" outlineLevel="1" spans="1:13">
      <c r="A23" s="22">
        <v>5</v>
      </c>
      <c r="B23" s="32" t="s">
        <v>107</v>
      </c>
      <c r="C23" s="33" t="s">
        <v>108</v>
      </c>
      <c r="D23" s="25" t="s">
        <v>76</v>
      </c>
      <c r="E23" s="26" t="s">
        <v>68</v>
      </c>
      <c r="F23" s="27">
        <v>46.4</v>
      </c>
      <c r="G23" s="28"/>
      <c r="H23" s="28"/>
      <c r="I23" s="52"/>
      <c r="J23" s="52"/>
      <c r="K23" s="52"/>
      <c r="L23" s="52"/>
      <c r="M23" s="55"/>
    </row>
    <row r="24" s="5" customFormat="1" ht="72" customHeight="1" outlineLevel="1" spans="1:13">
      <c r="A24" s="22">
        <v>6</v>
      </c>
      <c r="B24" s="32" t="s">
        <v>109</v>
      </c>
      <c r="C24" s="33" t="s">
        <v>110</v>
      </c>
      <c r="D24" s="25" t="s">
        <v>76</v>
      </c>
      <c r="E24" s="26" t="s">
        <v>68</v>
      </c>
      <c r="F24" s="27">
        <v>24</v>
      </c>
      <c r="G24" s="28"/>
      <c r="H24" s="28"/>
      <c r="I24" s="52"/>
      <c r="J24" s="52"/>
      <c r="K24" s="52"/>
      <c r="L24" s="52"/>
      <c r="M24" s="55"/>
    </row>
    <row r="25" s="5" customFormat="1" ht="72" customHeight="1" outlineLevel="1" spans="1:13">
      <c r="A25" s="22">
        <v>7</v>
      </c>
      <c r="B25" s="34" t="s">
        <v>111</v>
      </c>
      <c r="C25" s="33" t="s">
        <v>112</v>
      </c>
      <c r="D25" s="25" t="s">
        <v>67</v>
      </c>
      <c r="E25" s="26" t="s">
        <v>68</v>
      </c>
      <c r="F25" s="27">
        <f>12.2*2+5.4*2+14.6+13.6</f>
        <v>63.4</v>
      </c>
      <c r="G25" s="28"/>
      <c r="H25" s="28"/>
      <c r="I25" s="52"/>
      <c r="J25" s="52"/>
      <c r="K25" s="52"/>
      <c r="L25" s="52"/>
      <c r="M25" s="55"/>
    </row>
    <row r="26" s="5" customFormat="1" ht="72" customHeight="1" outlineLevel="1" spans="1:13">
      <c r="A26" s="22">
        <v>8</v>
      </c>
      <c r="B26" s="34" t="s">
        <v>113</v>
      </c>
      <c r="C26" s="33" t="s">
        <v>114</v>
      </c>
      <c r="D26" s="25" t="s">
        <v>76</v>
      </c>
      <c r="E26" s="26" t="s">
        <v>68</v>
      </c>
      <c r="F26" s="27">
        <v>3.6</v>
      </c>
      <c r="G26" s="28"/>
      <c r="H26" s="28"/>
      <c r="I26" s="52"/>
      <c r="J26" s="52"/>
      <c r="K26" s="52"/>
      <c r="L26" s="52"/>
      <c r="M26" s="55"/>
    </row>
    <row r="27" s="5" customFormat="1" ht="72" customHeight="1" outlineLevel="1" spans="1:13">
      <c r="A27" s="22">
        <v>9</v>
      </c>
      <c r="B27" s="34" t="s">
        <v>115</v>
      </c>
      <c r="C27" s="33" t="s">
        <v>116</v>
      </c>
      <c r="D27" s="25" t="s">
        <v>67</v>
      </c>
      <c r="E27" s="26" t="s">
        <v>68</v>
      </c>
      <c r="F27" s="27">
        <f>60.7+85+25*35</f>
        <v>1020.7</v>
      </c>
      <c r="G27" s="28"/>
      <c r="H27" s="28"/>
      <c r="I27" s="52"/>
      <c r="J27" s="52"/>
      <c r="K27" s="52"/>
      <c r="L27" s="52"/>
      <c r="M27" s="55"/>
    </row>
    <row r="28" s="5" customFormat="1" ht="72" customHeight="1" outlineLevel="1" spans="1:13">
      <c r="A28" s="22">
        <v>10</v>
      </c>
      <c r="B28" s="34" t="s">
        <v>117</v>
      </c>
      <c r="C28" s="33" t="s">
        <v>118</v>
      </c>
      <c r="D28" s="25" t="s">
        <v>76</v>
      </c>
      <c r="E28" s="26" t="s">
        <v>68</v>
      </c>
      <c r="F28" s="27">
        <v>183.74</v>
      </c>
      <c r="G28" s="28"/>
      <c r="H28" s="28"/>
      <c r="I28" s="52"/>
      <c r="J28" s="52"/>
      <c r="K28" s="52"/>
      <c r="L28" s="52"/>
      <c r="M28" s="55"/>
    </row>
    <row r="29" s="5" customFormat="1" ht="72" customHeight="1" outlineLevel="1" spans="1:13">
      <c r="A29" s="22">
        <v>11</v>
      </c>
      <c r="B29" s="32" t="s">
        <v>119</v>
      </c>
      <c r="C29" s="33" t="s">
        <v>120</v>
      </c>
      <c r="D29" s="25" t="s">
        <v>76</v>
      </c>
      <c r="E29" s="26" t="s">
        <v>68</v>
      </c>
      <c r="F29" s="27">
        <v>833</v>
      </c>
      <c r="G29" s="28"/>
      <c r="H29" s="28"/>
      <c r="I29" s="52"/>
      <c r="J29" s="52"/>
      <c r="K29" s="52"/>
      <c r="L29" s="52"/>
      <c r="M29" s="55"/>
    </row>
    <row r="30" s="5" customFormat="1" ht="72" customHeight="1" outlineLevel="1" spans="1:13">
      <c r="A30" s="22">
        <v>15</v>
      </c>
      <c r="B30" s="35" t="s">
        <v>127</v>
      </c>
      <c r="C30" s="36" t="s">
        <v>128</v>
      </c>
      <c r="D30" s="37" t="s">
        <v>129</v>
      </c>
      <c r="E30" s="38" t="s">
        <v>130</v>
      </c>
      <c r="F30" s="27">
        <f>37.65*2</f>
        <v>75.3</v>
      </c>
      <c r="G30" s="28"/>
      <c r="H30" s="28"/>
      <c r="I30" s="52"/>
      <c r="J30" s="52"/>
      <c r="K30" s="52"/>
      <c r="L30" s="52"/>
      <c r="M30" s="55"/>
    </row>
    <row r="31" s="5" customFormat="1" ht="72" customHeight="1" outlineLevel="1" spans="1:13">
      <c r="A31" s="22">
        <v>16</v>
      </c>
      <c r="B31" s="35" t="s">
        <v>131</v>
      </c>
      <c r="C31" s="36" t="s">
        <v>132</v>
      </c>
      <c r="D31" s="37" t="s">
        <v>133</v>
      </c>
      <c r="E31" s="38" t="s">
        <v>134</v>
      </c>
      <c r="F31" s="27">
        <f>40+4+2</f>
        <v>46</v>
      </c>
      <c r="G31" s="28"/>
      <c r="H31" s="28"/>
      <c r="I31" s="52"/>
      <c r="J31" s="52"/>
      <c r="K31" s="52"/>
      <c r="L31" s="52"/>
      <c r="M31" s="55"/>
    </row>
    <row r="32" s="5" customFormat="1" ht="72" customHeight="1" outlineLevel="1" spans="1:13">
      <c r="A32" s="22">
        <v>17</v>
      </c>
      <c r="B32" s="39" t="s">
        <v>135</v>
      </c>
      <c r="C32" s="40" t="s">
        <v>136</v>
      </c>
      <c r="D32" s="31" t="s">
        <v>137</v>
      </c>
      <c r="E32" s="26" t="s">
        <v>68</v>
      </c>
      <c r="F32" s="27">
        <f>5560.7-700+1415.5+353*10+1020.7+833</f>
        <v>11659.9</v>
      </c>
      <c r="G32" s="28"/>
      <c r="H32" s="28"/>
      <c r="I32" s="52"/>
      <c r="J32" s="52"/>
      <c r="K32" s="52"/>
      <c r="L32" s="52"/>
      <c r="M32" s="55"/>
    </row>
    <row r="33" s="5" customFormat="1" ht="72" customHeight="1" outlineLevel="1" spans="1:13">
      <c r="A33" s="22">
        <v>18</v>
      </c>
      <c r="B33" s="39" t="s">
        <v>138</v>
      </c>
      <c r="C33" s="40" t="s">
        <v>139</v>
      </c>
      <c r="D33" s="31" t="s">
        <v>137</v>
      </c>
      <c r="E33" s="26" t="s">
        <v>68</v>
      </c>
      <c r="F33" s="27">
        <f>700+91+3.6</f>
        <v>794.6</v>
      </c>
      <c r="G33" s="28"/>
      <c r="H33" s="28"/>
      <c r="I33" s="52"/>
      <c r="J33" s="52"/>
      <c r="K33" s="52"/>
      <c r="L33" s="52"/>
      <c r="M33" s="55"/>
    </row>
    <row r="34" s="5" customFormat="1" ht="28" customHeight="1" spans="1:13">
      <c r="A34" s="17"/>
      <c r="B34" s="17" t="s">
        <v>141</v>
      </c>
      <c r="C34" s="18"/>
      <c r="D34" s="25"/>
      <c r="E34" s="25"/>
      <c r="F34" s="26"/>
      <c r="G34" s="29"/>
      <c r="H34" s="30"/>
      <c r="I34" s="52"/>
      <c r="J34" s="52"/>
      <c r="K34" s="52"/>
      <c r="L34" s="52"/>
      <c r="M34" s="55"/>
    </row>
    <row r="35" s="3" customFormat="1" ht="72" customHeight="1" outlineLevel="1" spans="1:14">
      <c r="A35" s="22">
        <v>1</v>
      </c>
      <c r="B35" s="23" t="s">
        <v>142</v>
      </c>
      <c r="C35" s="24" t="s">
        <v>143</v>
      </c>
      <c r="D35" s="25" t="s">
        <v>67</v>
      </c>
      <c r="E35" s="26" t="s">
        <v>68</v>
      </c>
      <c r="F35" s="27">
        <f>(0.41*3+2.96*3+6.78*3+3.11*3+1.74*2.4+3.54*2.4+3.51*2.4+6.62*3+3.51*2.4+5.03*3+4.24*2.4+4.5*3+8.74*3+0.66*3+(1.6*2+4.77+3.24+4.74+3*2+2.7*2+1.5*4+5+8.4)*3)*2+(8.14*3*4+4.04*3*3+3.54*3*3)*2</f>
        <v>924.552</v>
      </c>
      <c r="G35" s="41"/>
      <c r="H35" s="28"/>
      <c r="I35" s="52"/>
      <c r="J35" s="52"/>
      <c r="K35" s="52"/>
      <c r="L35" s="52"/>
      <c r="M35" s="55"/>
      <c r="N35" s="56">
        <f>(8.14*3*4+4.04*3*3+3.54*3*3)*2</f>
        <v>331.8</v>
      </c>
    </row>
    <row r="36" s="3" customFormat="1" ht="72" customHeight="1" outlineLevel="1" spans="1:14">
      <c r="A36" s="22">
        <v>2</v>
      </c>
      <c r="B36" s="23" t="s">
        <v>144</v>
      </c>
      <c r="C36" s="24" t="s">
        <v>145</v>
      </c>
      <c r="D36" s="25" t="s">
        <v>67</v>
      </c>
      <c r="E36" s="26" t="s">
        <v>68</v>
      </c>
      <c r="F36" s="27">
        <f>(4.51*3+4.64*3)*2+33.9+18.2*2</f>
        <v>125.2</v>
      </c>
      <c r="G36" s="41"/>
      <c r="H36" s="28"/>
      <c r="I36" s="52"/>
      <c r="J36" s="52"/>
      <c r="K36" s="52"/>
      <c r="L36" s="52"/>
      <c r="M36" s="55"/>
      <c r="N36" s="56">
        <f>18.2*2</f>
        <v>36.4</v>
      </c>
    </row>
    <row r="37" s="3" customFormat="1" ht="72" customHeight="1" outlineLevel="1" spans="1:13">
      <c r="A37" s="22">
        <v>3</v>
      </c>
      <c r="B37" s="23" t="s">
        <v>146</v>
      </c>
      <c r="C37" s="24" t="s">
        <v>147</v>
      </c>
      <c r="D37" s="25" t="s">
        <v>67</v>
      </c>
      <c r="E37" s="26" t="s">
        <v>68</v>
      </c>
      <c r="F37" s="27">
        <f>2.94*3-0.9*3+3.19*3*2+2.94*3*2+1.5*3*2</f>
        <v>51.9</v>
      </c>
      <c r="G37" s="28"/>
      <c r="H37" s="28"/>
      <c r="I37" s="52"/>
      <c r="J37" s="52"/>
      <c r="K37" s="52"/>
      <c r="L37" s="52"/>
      <c r="M37" s="55"/>
    </row>
    <row r="38" s="6" customFormat="1" ht="72" customHeight="1" outlineLevel="1" spans="1:13">
      <c r="A38" s="22">
        <v>4</v>
      </c>
      <c r="B38" s="42" t="s">
        <v>148</v>
      </c>
      <c r="C38" s="33" t="s">
        <v>149</v>
      </c>
      <c r="D38" s="25" t="s">
        <v>67</v>
      </c>
      <c r="E38" s="26" t="s">
        <v>68</v>
      </c>
      <c r="F38" s="43">
        <f>4.7*9.6*2-1.8*3*2+(41.5*8.7-1.35-0.7*1.9*2-1.8*2.3*3)*2</f>
        <v>768.68</v>
      </c>
      <c r="G38" s="28"/>
      <c r="H38" s="28"/>
      <c r="I38" s="52"/>
      <c r="J38" s="52"/>
      <c r="K38" s="52"/>
      <c r="L38" s="52"/>
      <c r="M38" s="55"/>
    </row>
    <row r="39" s="6" customFormat="1" ht="72" customHeight="1" outlineLevel="1" spans="1:13">
      <c r="A39" s="22">
        <v>5</v>
      </c>
      <c r="B39" s="42" t="s">
        <v>150</v>
      </c>
      <c r="C39" s="33" t="s">
        <v>151</v>
      </c>
      <c r="D39" s="25" t="s">
        <v>67</v>
      </c>
      <c r="E39" s="26" t="s">
        <v>68</v>
      </c>
      <c r="F39" s="43">
        <f>0.3*9.6*2+41.5*0.3*2</f>
        <v>30.66</v>
      </c>
      <c r="G39" s="28"/>
      <c r="H39" s="28"/>
      <c r="I39" s="52"/>
      <c r="J39" s="52"/>
      <c r="K39" s="52"/>
      <c r="L39" s="52"/>
      <c r="M39" s="55"/>
    </row>
    <row r="40" s="6" customFormat="1" ht="72" customHeight="1" outlineLevel="1" spans="1:13">
      <c r="A40" s="22">
        <v>6</v>
      </c>
      <c r="B40" s="42" t="s">
        <v>152</v>
      </c>
      <c r="C40" s="33" t="s">
        <v>153</v>
      </c>
      <c r="D40" s="25" t="s">
        <v>154</v>
      </c>
      <c r="E40" s="26" t="s">
        <v>130</v>
      </c>
      <c r="F40" s="43">
        <v>12.5</v>
      </c>
      <c r="G40" s="28"/>
      <c r="H40" s="28"/>
      <c r="I40" s="52"/>
      <c r="J40" s="52"/>
      <c r="K40" s="52"/>
      <c r="L40" s="52"/>
      <c r="M40" s="55"/>
    </row>
    <row r="41" s="6" customFormat="1" ht="72" customHeight="1" outlineLevel="1" spans="1:13">
      <c r="A41" s="22">
        <v>7</v>
      </c>
      <c r="B41" s="42" t="s">
        <v>155</v>
      </c>
      <c r="C41" s="33" t="s">
        <v>156</v>
      </c>
      <c r="D41" s="25" t="s">
        <v>157</v>
      </c>
      <c r="E41" s="26" t="s">
        <v>158</v>
      </c>
      <c r="F41" s="43">
        <f>0.52*5*7.85*5*12/1000</f>
        <v>1.2246</v>
      </c>
      <c r="G41" s="28"/>
      <c r="H41" s="28"/>
      <c r="I41" s="52"/>
      <c r="J41" s="52"/>
      <c r="K41" s="52"/>
      <c r="L41" s="52"/>
      <c r="M41" s="55"/>
    </row>
    <row r="42" s="6" customFormat="1" ht="72" customHeight="1" outlineLevel="1" spans="1:13">
      <c r="A42" s="22">
        <v>8</v>
      </c>
      <c r="B42" s="42" t="s">
        <v>159</v>
      </c>
      <c r="C42" s="33" t="s">
        <v>160</v>
      </c>
      <c r="D42" s="31" t="s">
        <v>161</v>
      </c>
      <c r="E42" s="20" t="s">
        <v>68</v>
      </c>
      <c r="F42" s="43">
        <f>11.38*5</f>
        <v>56.9</v>
      </c>
      <c r="G42" s="28"/>
      <c r="H42" s="28"/>
      <c r="I42" s="52"/>
      <c r="J42" s="52"/>
      <c r="K42" s="52"/>
      <c r="L42" s="52"/>
      <c r="M42" s="55"/>
    </row>
    <row r="43" s="6" customFormat="1" ht="72" customHeight="1" outlineLevel="1" spans="1:13">
      <c r="A43" s="22">
        <v>9</v>
      </c>
      <c r="B43" s="42" t="s">
        <v>162</v>
      </c>
      <c r="C43" s="33" t="s">
        <v>163</v>
      </c>
      <c r="D43" s="31" t="s">
        <v>164</v>
      </c>
      <c r="E43" s="20" t="s">
        <v>68</v>
      </c>
      <c r="F43" s="43">
        <f>11.38*5*2+0.44*5*2</f>
        <v>118.2</v>
      </c>
      <c r="G43" s="28"/>
      <c r="H43" s="28"/>
      <c r="I43" s="52"/>
      <c r="J43" s="52"/>
      <c r="K43" s="52"/>
      <c r="L43" s="52"/>
      <c r="M43" s="55"/>
    </row>
    <row r="44" s="6" customFormat="1" ht="72" customHeight="1" outlineLevel="1" spans="1:14">
      <c r="A44" s="22">
        <v>10</v>
      </c>
      <c r="B44" s="42" t="s">
        <v>165</v>
      </c>
      <c r="C44" s="33" t="s">
        <v>166</v>
      </c>
      <c r="D44" s="37" t="s">
        <v>129</v>
      </c>
      <c r="E44" s="38" t="s">
        <v>130</v>
      </c>
      <c r="F44" s="43">
        <f>11.3+38+38.7+49.4+25.75+16.85+11.1+7.8+11.1+38.7*2+49.4-6.8+49.4+11.1+7.8+11.1+4*84+17.65*2-1.8-7.87+33.27*2+12.16+2.67+3.17+8.18+2.47*2+1.94+0.7+2.44*2+1.87+32.5+11*2+7.94*2+14.7*4+15.94+20.13+17+24.3</f>
        <v>1084.63</v>
      </c>
      <c r="G44" s="28"/>
      <c r="H44" s="28"/>
      <c r="I44" s="52"/>
      <c r="J44" s="52"/>
      <c r="K44" s="52"/>
      <c r="L44" s="52"/>
      <c r="M44" s="55"/>
      <c r="N44" s="57">
        <v>14.7</v>
      </c>
    </row>
    <row r="45" s="6" customFormat="1" ht="72" customHeight="1" outlineLevel="1" spans="1:13">
      <c r="A45" s="22">
        <v>11</v>
      </c>
      <c r="B45" s="42" t="s">
        <v>167</v>
      </c>
      <c r="C45" s="33" t="s">
        <v>168</v>
      </c>
      <c r="D45" s="37" t="s">
        <v>129</v>
      </c>
      <c r="E45" s="38" t="s">
        <v>130</v>
      </c>
      <c r="F45" s="43">
        <f>(7.64*2+10*2)*5+15.94-2.4*3+20.13+17+24.3</f>
        <v>246.57</v>
      </c>
      <c r="G45" s="28"/>
      <c r="H45" s="28"/>
      <c r="I45" s="52"/>
      <c r="J45" s="52"/>
      <c r="K45" s="52"/>
      <c r="L45" s="52"/>
      <c r="M45" s="55"/>
    </row>
    <row r="46" s="6" customFormat="1" ht="72" customHeight="1" outlineLevel="1" spans="1:13">
      <c r="A46" s="22">
        <v>12</v>
      </c>
      <c r="B46" s="42" t="s">
        <v>169</v>
      </c>
      <c r="C46" s="33" t="s">
        <v>170</v>
      </c>
      <c r="D46" s="25" t="s">
        <v>67</v>
      </c>
      <c r="E46" s="26" t="s">
        <v>68</v>
      </c>
      <c r="F46" s="43">
        <f>172.9-1.8*2.3*4-12*2+1.6*4.55*10+49.4*4.55-1.8*2.3*3+25.75*4.55+16.85*4.55-1*2.3*3+15.2*4.6+43+29.3+71*2</f>
        <v>888.64</v>
      </c>
      <c r="G46" s="28"/>
      <c r="H46" s="28"/>
      <c r="I46" s="52"/>
      <c r="J46" s="52"/>
      <c r="K46" s="52"/>
      <c r="L46" s="52"/>
      <c r="M46" s="55"/>
    </row>
    <row r="47" s="6" customFormat="1" ht="72" customHeight="1" outlineLevel="1" spans="1:13">
      <c r="A47" s="22">
        <v>13</v>
      </c>
      <c r="B47" s="42" t="s">
        <v>171</v>
      </c>
      <c r="C47" s="33" t="s">
        <v>172</v>
      </c>
      <c r="D47" s="25" t="s">
        <v>67</v>
      </c>
      <c r="E47" s="26" t="s">
        <v>68</v>
      </c>
      <c r="F47" s="43">
        <f>1*4*0.4*36+15+23.6</f>
        <v>96.2</v>
      </c>
      <c r="G47" s="28"/>
      <c r="H47" s="28"/>
      <c r="I47" s="52"/>
      <c r="J47" s="52"/>
      <c r="K47" s="52"/>
      <c r="L47" s="52"/>
      <c r="M47" s="55"/>
    </row>
    <row r="48" s="6" customFormat="1" ht="72" customHeight="1" outlineLevel="1" spans="1:13">
      <c r="A48" s="22">
        <v>14</v>
      </c>
      <c r="B48" s="42" t="s">
        <v>173</v>
      </c>
      <c r="C48" s="33" t="s">
        <v>174</v>
      </c>
      <c r="D48" s="25" t="s">
        <v>67</v>
      </c>
      <c r="E48" s="26" t="s">
        <v>68</v>
      </c>
      <c r="F48" s="43">
        <f>1*4*0.4*39</f>
        <v>62.4</v>
      </c>
      <c r="G48" s="28"/>
      <c r="H48" s="28"/>
      <c r="I48" s="52"/>
      <c r="J48" s="52"/>
      <c r="K48" s="52"/>
      <c r="L48" s="52"/>
      <c r="M48" s="55"/>
    </row>
    <row r="49" s="6" customFormat="1" ht="72" customHeight="1" outlineLevel="1" spans="1:13">
      <c r="A49" s="22">
        <v>15</v>
      </c>
      <c r="B49" s="42" t="s">
        <v>175</v>
      </c>
      <c r="C49" s="33" t="s">
        <v>176</v>
      </c>
      <c r="D49" s="37" t="s">
        <v>177</v>
      </c>
      <c r="E49" s="26" t="s">
        <v>130</v>
      </c>
      <c r="F49" s="43">
        <f>16.23+13.19+21.8</f>
        <v>51.22</v>
      </c>
      <c r="G49" s="28"/>
      <c r="H49" s="28"/>
      <c r="I49" s="52"/>
      <c r="J49" s="52"/>
      <c r="K49" s="52"/>
      <c r="L49" s="52"/>
      <c r="M49" s="55"/>
    </row>
    <row r="50" s="5" customFormat="1" ht="72" customHeight="1" outlineLevel="1" spans="1:13">
      <c r="A50" s="22">
        <v>16</v>
      </c>
      <c r="B50" s="34" t="s">
        <v>178</v>
      </c>
      <c r="C50" s="33" t="s">
        <v>179</v>
      </c>
      <c r="D50" s="25" t="s">
        <v>180</v>
      </c>
      <c r="E50" s="26" t="s">
        <v>68</v>
      </c>
      <c r="F50" s="27">
        <f>+(4.4+0.6*2)*38</f>
        <v>212.8</v>
      </c>
      <c r="G50" s="28"/>
      <c r="H50" s="28"/>
      <c r="I50" s="52"/>
      <c r="J50" s="52"/>
      <c r="K50" s="52"/>
      <c r="L50" s="52"/>
      <c r="M50" s="55"/>
    </row>
    <row r="51" s="5" customFormat="1" ht="72" customHeight="1" outlineLevel="1" spans="1:13">
      <c r="A51" s="22">
        <v>17</v>
      </c>
      <c r="B51" s="34" t="s">
        <v>181</v>
      </c>
      <c r="C51" s="33" t="s">
        <v>182</v>
      </c>
      <c r="D51" s="25" t="s">
        <v>183</v>
      </c>
      <c r="E51" s="26" t="s">
        <v>68</v>
      </c>
      <c r="F51" s="27">
        <f>39.85*4.4+39.85*4.4+11.1*4.55+7.8*4.55-1.8*2.3*2-18.66+11.1*4.55-1.8*2.3*2+38.7*4.65+38.7*4.55-1.8*4.55*11+49.4*4.55-1.8*2.3*4+49.4*4.55+11.1*4.55-1.5*2.3+7.8*4.55-1.8*2.3-6.5+11.1*4.55-1.8*2.3+26.4*2+49.8*2</f>
        <v>1421.56</v>
      </c>
      <c r="G51" s="28"/>
      <c r="H51" s="28"/>
      <c r="I51" s="52"/>
      <c r="J51" s="52"/>
      <c r="K51" s="52"/>
      <c r="L51" s="52"/>
      <c r="M51" s="55"/>
    </row>
    <row r="52" s="5" customFormat="1" ht="72" customHeight="1" outlineLevel="1" spans="1:13">
      <c r="A52" s="22">
        <v>18</v>
      </c>
      <c r="B52" s="44" t="s">
        <v>184</v>
      </c>
      <c r="C52" s="45" t="s">
        <v>185</v>
      </c>
      <c r="D52" s="25" t="s">
        <v>67</v>
      </c>
      <c r="E52" s="26" t="s">
        <v>68</v>
      </c>
      <c r="F52" s="43">
        <f>38.7*4.4</f>
        <v>170.28</v>
      </c>
      <c r="G52" s="28"/>
      <c r="H52" s="28"/>
      <c r="I52" s="52"/>
      <c r="J52" s="52"/>
      <c r="K52" s="52"/>
      <c r="L52" s="52"/>
      <c r="M52" s="55"/>
    </row>
    <row r="53" s="5" customFormat="1" ht="72" customHeight="1" outlineLevel="1" spans="1:13">
      <c r="A53" s="22">
        <v>21</v>
      </c>
      <c r="B53" s="44" t="s">
        <v>190</v>
      </c>
      <c r="C53" s="45" t="s">
        <v>191</v>
      </c>
      <c r="D53" s="25" t="s">
        <v>67</v>
      </c>
      <c r="E53" s="26" t="s">
        <v>68</v>
      </c>
      <c r="F53" s="43">
        <f>13.5+17.4+24</f>
        <v>54.9</v>
      </c>
      <c r="G53" s="28"/>
      <c r="H53" s="28"/>
      <c r="I53" s="52"/>
      <c r="J53" s="52"/>
      <c r="K53" s="52"/>
      <c r="L53" s="52"/>
      <c r="M53" s="55"/>
    </row>
    <row r="54" s="5" customFormat="1" ht="72" customHeight="1" outlineLevel="1" spans="1:13">
      <c r="A54" s="22">
        <v>22</v>
      </c>
      <c r="B54" s="44" t="s">
        <v>192</v>
      </c>
      <c r="C54" s="45" t="s">
        <v>193</v>
      </c>
      <c r="D54" s="25" t="s">
        <v>67</v>
      </c>
      <c r="E54" s="26" t="s">
        <v>68</v>
      </c>
      <c r="F54" s="43">
        <f>38.7*4.25+38.7*4.35+15.5*4.35*2+7*4.4+15.5*4.4</f>
        <v>566.67</v>
      </c>
      <c r="G54" s="28"/>
      <c r="H54" s="28"/>
      <c r="I54" s="52"/>
      <c r="J54" s="52"/>
      <c r="K54" s="52"/>
      <c r="L54" s="52"/>
      <c r="M54" s="55"/>
    </row>
    <row r="55" s="5" customFormat="1" ht="72" customHeight="1" outlineLevel="1" spans="1:13">
      <c r="A55" s="22">
        <v>23</v>
      </c>
      <c r="B55" s="44" t="s">
        <v>194</v>
      </c>
      <c r="C55" s="45" t="s">
        <v>195</v>
      </c>
      <c r="D55" s="37" t="s">
        <v>129</v>
      </c>
      <c r="E55" s="26" t="s">
        <v>130</v>
      </c>
      <c r="F55" s="43">
        <f>38.7*2+49.4-6.8+7+15.5</f>
        <v>142.5</v>
      </c>
      <c r="G55" s="28"/>
      <c r="H55" s="28"/>
      <c r="I55" s="52"/>
      <c r="J55" s="52"/>
      <c r="K55" s="52"/>
      <c r="L55" s="52"/>
      <c r="M55" s="55"/>
    </row>
    <row r="56" s="5" customFormat="1" ht="72" customHeight="1" outlineLevel="1" spans="1:13">
      <c r="A56" s="22">
        <v>24</v>
      </c>
      <c r="B56" s="34" t="s">
        <v>196</v>
      </c>
      <c r="C56" s="33" t="s">
        <v>197</v>
      </c>
      <c r="D56" s="25" t="s">
        <v>180</v>
      </c>
      <c r="E56" s="26" t="s">
        <v>68</v>
      </c>
      <c r="F56" s="27">
        <f>1*4*5.95*(45+15+24)-0.7*1.9*44</f>
        <v>1940.68</v>
      </c>
      <c r="G56" s="28"/>
      <c r="H56" s="28"/>
      <c r="I56" s="52"/>
      <c r="J56" s="52"/>
      <c r="K56" s="52"/>
      <c r="L56" s="52"/>
      <c r="M56" s="55"/>
    </row>
    <row r="57" s="5" customFormat="1" ht="72" customHeight="1" outlineLevel="1" spans="1:13">
      <c r="A57" s="22">
        <v>25</v>
      </c>
      <c r="B57" s="34" t="s">
        <v>198</v>
      </c>
      <c r="C57" s="33" t="s">
        <v>197</v>
      </c>
      <c r="D57" s="25" t="s">
        <v>67</v>
      </c>
      <c r="E57" s="26" t="s">
        <v>68</v>
      </c>
      <c r="F57" s="27">
        <f>63.7+43.4+149.5+125+5.67*3+2.74+45+38+12.5*3</f>
        <v>521.85</v>
      </c>
      <c r="G57" s="28"/>
      <c r="H57" s="28"/>
      <c r="I57" s="52"/>
      <c r="J57" s="52"/>
      <c r="K57" s="52"/>
      <c r="L57" s="52"/>
      <c r="M57" s="55"/>
    </row>
    <row r="58" s="5" customFormat="1" ht="72" customHeight="1" outlineLevel="1" spans="1:13">
      <c r="A58" s="22">
        <v>26</v>
      </c>
      <c r="B58" s="34" t="s">
        <v>199</v>
      </c>
      <c r="C58" s="33" t="s">
        <v>200</v>
      </c>
      <c r="D58" s="25" t="s">
        <v>67</v>
      </c>
      <c r="E58" s="26" t="s">
        <v>68</v>
      </c>
      <c r="F58" s="27">
        <f>4.5+0.9</f>
        <v>5.4</v>
      </c>
      <c r="G58" s="28"/>
      <c r="H58" s="28"/>
      <c r="I58" s="52"/>
      <c r="J58" s="52"/>
      <c r="K58" s="52"/>
      <c r="L58" s="52"/>
      <c r="M58" s="55"/>
    </row>
    <row r="59" s="5" customFormat="1" ht="72" customHeight="1" outlineLevel="1" spans="1:13">
      <c r="A59" s="22">
        <v>27</v>
      </c>
      <c r="B59" s="34" t="s">
        <v>201</v>
      </c>
      <c r="C59" s="33" t="s">
        <v>202</v>
      </c>
      <c r="D59" s="25" t="s">
        <v>203</v>
      </c>
      <c r="E59" s="26" t="s">
        <v>68</v>
      </c>
      <c r="F59" s="27">
        <f>51.4+8.5*2.12</f>
        <v>69.42</v>
      </c>
      <c r="G59" s="28"/>
      <c r="H59" s="28"/>
      <c r="I59" s="52"/>
      <c r="J59" s="52"/>
      <c r="K59" s="52"/>
      <c r="L59" s="52"/>
      <c r="M59" s="55"/>
    </row>
    <row r="60" s="5" customFormat="1" ht="72" customHeight="1" outlineLevel="1" spans="1:13">
      <c r="A60" s="22">
        <v>28</v>
      </c>
      <c r="B60" s="46" t="s">
        <v>204</v>
      </c>
      <c r="C60" s="24" t="s">
        <v>205</v>
      </c>
      <c r="D60" s="25" t="s">
        <v>180</v>
      </c>
      <c r="E60" s="26" t="s">
        <v>68</v>
      </c>
      <c r="F60" s="26">
        <f>1*3*4*2</f>
        <v>24</v>
      </c>
      <c r="G60" s="28"/>
      <c r="H60" s="28"/>
      <c r="I60" s="52"/>
      <c r="J60" s="52"/>
      <c r="K60" s="52"/>
      <c r="L60" s="52"/>
      <c r="M60" s="55"/>
    </row>
    <row r="61" s="5" customFormat="1" ht="72" customHeight="1" outlineLevel="1" spans="1:13">
      <c r="A61" s="22">
        <v>29</v>
      </c>
      <c r="B61" s="46" t="s">
        <v>206</v>
      </c>
      <c r="C61" s="24" t="s">
        <v>207</v>
      </c>
      <c r="D61" s="25" t="s">
        <v>180</v>
      </c>
      <c r="E61" s="26" t="s">
        <v>68</v>
      </c>
      <c r="F61" s="26">
        <f>0.84*9*8</f>
        <v>60.48</v>
      </c>
      <c r="G61" s="28"/>
      <c r="H61" s="28"/>
      <c r="I61" s="52"/>
      <c r="J61" s="52"/>
      <c r="K61" s="52"/>
      <c r="L61" s="52"/>
      <c r="M61" s="55"/>
    </row>
    <row r="62" s="5" customFormat="1" ht="72" customHeight="1" outlineLevel="1" spans="1:13">
      <c r="A62" s="22">
        <v>30</v>
      </c>
      <c r="B62" s="44" t="s">
        <v>208</v>
      </c>
      <c r="C62" s="45" t="s">
        <v>209</v>
      </c>
      <c r="D62" s="25" t="s">
        <v>67</v>
      </c>
      <c r="E62" s="26" t="s">
        <v>68</v>
      </c>
      <c r="F62" s="43">
        <f>(7.64*4.08+32.3+32)*5</f>
        <v>477.356</v>
      </c>
      <c r="G62" s="28"/>
      <c r="H62" s="28"/>
      <c r="I62" s="52"/>
      <c r="J62" s="52"/>
      <c r="K62" s="52"/>
      <c r="L62" s="52"/>
      <c r="M62" s="55"/>
    </row>
    <row r="63" s="5" customFormat="1" ht="72" customHeight="1" outlineLevel="1" spans="1:13">
      <c r="A63" s="22">
        <v>31</v>
      </c>
      <c r="B63" s="46" t="s">
        <v>210</v>
      </c>
      <c r="C63" s="47" t="s">
        <v>211</v>
      </c>
      <c r="D63" s="25" t="s">
        <v>212</v>
      </c>
      <c r="E63" s="26" t="s">
        <v>213</v>
      </c>
      <c r="F63" s="43">
        <f>2+2</f>
        <v>4</v>
      </c>
      <c r="G63" s="28"/>
      <c r="H63" s="28"/>
      <c r="I63" s="52"/>
      <c r="J63" s="52"/>
      <c r="K63" s="52"/>
      <c r="L63" s="52"/>
      <c r="M63" s="55"/>
    </row>
    <row r="64" s="5" customFormat="1" ht="72" customHeight="1" outlineLevel="1" spans="1:13">
      <c r="A64" s="22">
        <v>32</v>
      </c>
      <c r="B64" s="46" t="s">
        <v>214</v>
      </c>
      <c r="C64" s="47" t="s">
        <v>215</v>
      </c>
      <c r="D64" s="25" t="s">
        <v>212</v>
      </c>
      <c r="E64" s="26" t="s">
        <v>213</v>
      </c>
      <c r="F64" s="43">
        <f>2+3</f>
        <v>5</v>
      </c>
      <c r="G64" s="28"/>
      <c r="H64" s="28"/>
      <c r="I64" s="52"/>
      <c r="J64" s="52"/>
      <c r="K64" s="52"/>
      <c r="L64" s="52"/>
      <c r="M64" s="55"/>
    </row>
    <row r="65" s="5" customFormat="1" ht="72" customHeight="1" outlineLevel="1" spans="1:13">
      <c r="A65" s="22">
        <v>33</v>
      </c>
      <c r="B65" s="46" t="s">
        <v>216</v>
      </c>
      <c r="C65" s="47" t="s">
        <v>217</v>
      </c>
      <c r="D65" s="25" t="s">
        <v>212</v>
      </c>
      <c r="E65" s="26" t="s">
        <v>213</v>
      </c>
      <c r="F65" s="43">
        <f>2+3</f>
        <v>5</v>
      </c>
      <c r="G65" s="28"/>
      <c r="H65" s="28"/>
      <c r="I65" s="52"/>
      <c r="J65" s="52"/>
      <c r="K65" s="52"/>
      <c r="L65" s="52"/>
      <c r="M65" s="55"/>
    </row>
    <row r="66" s="5" customFormat="1" ht="72" customHeight="1" outlineLevel="1" spans="1:13">
      <c r="A66" s="22">
        <v>34</v>
      </c>
      <c r="B66" s="46" t="s">
        <v>218</v>
      </c>
      <c r="C66" s="47" t="s">
        <v>219</v>
      </c>
      <c r="D66" s="25" t="s">
        <v>212</v>
      </c>
      <c r="E66" s="26" t="s">
        <v>213</v>
      </c>
      <c r="F66" s="43">
        <v>44</v>
      </c>
      <c r="G66" s="28"/>
      <c r="H66" s="28"/>
      <c r="I66" s="52"/>
      <c r="J66" s="52"/>
      <c r="K66" s="52"/>
      <c r="L66" s="52"/>
      <c r="M66" s="55"/>
    </row>
    <row r="67" s="2" customFormat="1" ht="31" customHeight="1" spans="1:13">
      <c r="A67" s="17"/>
      <c r="B67" s="17" t="s">
        <v>242</v>
      </c>
      <c r="C67" s="18"/>
      <c r="D67" s="25"/>
      <c r="E67" s="25"/>
      <c r="F67" s="26"/>
      <c r="G67" s="29"/>
      <c r="H67" s="30"/>
      <c r="I67" s="52"/>
      <c r="J67" s="52"/>
      <c r="K67" s="52"/>
      <c r="L67" s="52"/>
      <c r="M67" s="55"/>
    </row>
    <row r="68" s="3" customFormat="1" ht="72" customHeight="1" outlineLevel="1" spans="1:13">
      <c r="A68" s="22">
        <v>1</v>
      </c>
      <c r="B68" s="23" t="s">
        <v>70</v>
      </c>
      <c r="C68" s="24" t="s">
        <v>71</v>
      </c>
      <c r="D68" s="25" t="s">
        <v>67</v>
      </c>
      <c r="E68" s="26" t="s">
        <v>68</v>
      </c>
      <c r="F68" s="27">
        <f>(122.76+190.76+65.95+190.76+127.82)*2</f>
        <v>1396.1</v>
      </c>
      <c r="G68" s="28"/>
      <c r="H68" s="28"/>
      <c r="I68" s="52"/>
      <c r="J68" s="52"/>
      <c r="K68" s="52"/>
      <c r="L68" s="52"/>
      <c r="M68" s="55"/>
    </row>
    <row r="69" s="3" customFormat="1" ht="72" customHeight="1" outlineLevel="1" spans="1:13">
      <c r="A69" s="22">
        <v>2</v>
      </c>
      <c r="B69" s="23" t="s">
        <v>243</v>
      </c>
      <c r="C69" s="24" t="s">
        <v>244</v>
      </c>
      <c r="D69" s="25" t="s">
        <v>67</v>
      </c>
      <c r="E69" s="26" t="s">
        <v>68</v>
      </c>
      <c r="F69" s="27">
        <f>109.6*4</f>
        <v>438.4</v>
      </c>
      <c r="G69" s="28"/>
      <c r="H69" s="28"/>
      <c r="I69" s="52"/>
      <c r="J69" s="52"/>
      <c r="K69" s="52"/>
      <c r="L69" s="52"/>
      <c r="M69" s="55"/>
    </row>
    <row r="70" s="4" customFormat="1" ht="72" customHeight="1" outlineLevel="1" spans="1:13">
      <c r="A70" s="22">
        <v>3</v>
      </c>
      <c r="B70" s="23" t="s">
        <v>79</v>
      </c>
      <c r="C70" s="24" t="s">
        <v>80</v>
      </c>
      <c r="D70" s="25" t="s">
        <v>67</v>
      </c>
      <c r="E70" s="26" t="s">
        <v>68</v>
      </c>
      <c r="F70" s="27">
        <f>0.3*30</f>
        <v>9</v>
      </c>
      <c r="G70" s="28"/>
      <c r="H70" s="28"/>
      <c r="I70" s="52"/>
      <c r="J70" s="52"/>
      <c r="K70" s="52"/>
      <c r="L70" s="52"/>
      <c r="M70" s="55"/>
    </row>
    <row r="71" s="5" customFormat="1" ht="30" customHeight="1" spans="1:13">
      <c r="A71" s="17"/>
      <c r="B71" s="17" t="s">
        <v>246</v>
      </c>
      <c r="C71" s="18"/>
      <c r="D71" s="25"/>
      <c r="E71" s="25"/>
      <c r="F71" s="26"/>
      <c r="G71" s="29"/>
      <c r="H71" s="30"/>
      <c r="I71" s="52"/>
      <c r="J71" s="52"/>
      <c r="K71" s="52"/>
      <c r="L71" s="52"/>
      <c r="M71" s="55"/>
    </row>
    <row r="72" s="5" customFormat="1" ht="72" customHeight="1" outlineLevel="1" spans="1:13">
      <c r="A72" s="22">
        <v>2</v>
      </c>
      <c r="B72" s="32" t="s">
        <v>109</v>
      </c>
      <c r="C72" s="33" t="s">
        <v>110</v>
      </c>
      <c r="D72" s="25" t="s">
        <v>76</v>
      </c>
      <c r="E72" s="26" t="s">
        <v>68</v>
      </c>
      <c r="F72" s="27">
        <f>17.2+12.75</f>
        <v>29.95</v>
      </c>
      <c r="G72" s="28"/>
      <c r="H72" s="28"/>
      <c r="I72" s="52"/>
      <c r="J72" s="52"/>
      <c r="K72" s="52"/>
      <c r="L72" s="52"/>
      <c r="M72" s="55"/>
    </row>
    <row r="73" s="5" customFormat="1" ht="72" customHeight="1" outlineLevel="1" spans="1:13">
      <c r="A73" s="22">
        <v>3</v>
      </c>
      <c r="B73" s="32" t="s">
        <v>247</v>
      </c>
      <c r="C73" s="33" t="s">
        <v>110</v>
      </c>
      <c r="D73" s="25" t="s">
        <v>76</v>
      </c>
      <c r="E73" s="26" t="s">
        <v>68</v>
      </c>
      <c r="F73" s="27">
        <v>32.8</v>
      </c>
      <c r="G73" s="28"/>
      <c r="H73" s="28"/>
      <c r="I73" s="52"/>
      <c r="J73" s="52"/>
      <c r="K73" s="52"/>
      <c r="L73" s="52"/>
      <c r="M73" s="55"/>
    </row>
    <row r="74" s="5" customFormat="1" ht="72" customHeight="1" outlineLevel="1" spans="1:13">
      <c r="A74" s="22">
        <v>5</v>
      </c>
      <c r="B74" s="35" t="s">
        <v>248</v>
      </c>
      <c r="C74" s="58" t="s">
        <v>249</v>
      </c>
      <c r="D74" s="37" t="s">
        <v>250</v>
      </c>
      <c r="E74" s="38" t="s">
        <v>130</v>
      </c>
      <c r="F74" s="27">
        <v>24.6</v>
      </c>
      <c r="G74" s="28"/>
      <c r="H74" s="28"/>
      <c r="I74" s="52"/>
      <c r="J74" s="52"/>
      <c r="K74" s="52"/>
      <c r="L74" s="52"/>
      <c r="M74" s="55"/>
    </row>
    <row r="75" s="5" customFormat="1" ht="72" customHeight="1" outlineLevel="1" spans="1:13">
      <c r="A75" s="22">
        <v>6</v>
      </c>
      <c r="B75" s="34" t="s">
        <v>251</v>
      </c>
      <c r="C75" s="33" t="s">
        <v>252</v>
      </c>
      <c r="D75" s="25" t="s">
        <v>67</v>
      </c>
      <c r="E75" s="26" t="s">
        <v>68</v>
      </c>
      <c r="F75" s="27">
        <v>59.72</v>
      </c>
      <c r="G75" s="28"/>
      <c r="H75" s="28"/>
      <c r="I75" s="52"/>
      <c r="J75" s="52"/>
      <c r="K75" s="52"/>
      <c r="L75" s="52"/>
      <c r="M75" s="55"/>
    </row>
    <row r="76" s="5" customFormat="1" ht="29" customHeight="1" spans="1:13">
      <c r="A76" s="17"/>
      <c r="B76" s="17" t="s">
        <v>254</v>
      </c>
      <c r="C76" s="18"/>
      <c r="D76" s="25"/>
      <c r="E76" s="25"/>
      <c r="F76" s="26"/>
      <c r="G76" s="29"/>
      <c r="H76" s="30"/>
      <c r="I76" s="52"/>
      <c r="J76" s="52"/>
      <c r="K76" s="52"/>
      <c r="L76" s="52"/>
      <c r="M76" s="55"/>
    </row>
    <row r="77" s="3" customFormat="1" ht="72" customHeight="1" outlineLevel="1" spans="1:13">
      <c r="A77" s="22">
        <v>1</v>
      </c>
      <c r="B77" s="23" t="s">
        <v>255</v>
      </c>
      <c r="C77" s="24" t="s">
        <v>256</v>
      </c>
      <c r="D77" s="25" t="s">
        <v>67</v>
      </c>
      <c r="E77" s="26" t="s">
        <v>68</v>
      </c>
      <c r="F77" s="27">
        <f>+(6.79*8+16*4-2*4-1.5*6)*2.4*4</f>
        <v>972.672</v>
      </c>
      <c r="G77" s="28"/>
      <c r="H77" s="28"/>
      <c r="I77" s="52"/>
      <c r="J77" s="52"/>
      <c r="K77" s="52"/>
      <c r="L77" s="52"/>
      <c r="M77" s="55"/>
    </row>
    <row r="78" s="3" customFormat="1" ht="72" customHeight="1" outlineLevel="1" spans="1:13">
      <c r="A78" s="22">
        <v>2</v>
      </c>
      <c r="B78" s="23" t="s">
        <v>257</v>
      </c>
      <c r="C78" s="24" t="s">
        <v>258</v>
      </c>
      <c r="D78" s="25" t="s">
        <v>67</v>
      </c>
      <c r="E78" s="26" t="s">
        <v>68</v>
      </c>
      <c r="F78" s="27">
        <f>2*1.5+2.4*2.4+13*2.4-1.5*2.3*2-1.2*2.4*3+5.1*2.4-1.22*2.4-1*2.3+5.1*2.4+10.4*2.4</f>
        <v>68.632</v>
      </c>
      <c r="G78" s="28"/>
      <c r="H78" s="28"/>
      <c r="I78" s="52"/>
      <c r="J78" s="52"/>
      <c r="K78" s="52"/>
      <c r="L78" s="52"/>
      <c r="M78" s="55"/>
    </row>
    <row r="79" s="5" customFormat="1" ht="72" customHeight="1" outlineLevel="1" spans="1:13">
      <c r="A79" s="22">
        <v>3</v>
      </c>
      <c r="B79" s="34" t="s">
        <v>259</v>
      </c>
      <c r="C79" s="33" t="s">
        <v>260</v>
      </c>
      <c r="D79" s="25" t="s">
        <v>67</v>
      </c>
      <c r="E79" s="26" t="s">
        <v>68</v>
      </c>
      <c r="F79" s="27">
        <f>8.58*2.85+1.2*2.85*6</f>
        <v>44.973</v>
      </c>
      <c r="G79" s="28"/>
      <c r="H79" s="28"/>
      <c r="I79" s="52"/>
      <c r="J79" s="52"/>
      <c r="K79" s="52"/>
      <c r="L79" s="52"/>
      <c r="M79" s="55"/>
    </row>
    <row r="80" s="6" customFormat="1" ht="72" customHeight="1" outlineLevel="1" spans="1:13">
      <c r="A80" s="22">
        <v>4</v>
      </c>
      <c r="B80" s="42" t="s">
        <v>165</v>
      </c>
      <c r="C80" s="33" t="s">
        <v>166</v>
      </c>
      <c r="D80" s="37" t="s">
        <v>129</v>
      </c>
      <c r="E80" s="38" t="s">
        <v>130</v>
      </c>
      <c r="F80" s="43">
        <v>13</v>
      </c>
      <c r="G80" s="28"/>
      <c r="H80" s="28"/>
      <c r="I80" s="52"/>
      <c r="J80" s="52"/>
      <c r="K80" s="52"/>
      <c r="L80" s="52"/>
      <c r="M80" s="55"/>
    </row>
    <row r="81" s="6" customFormat="1" ht="72" customHeight="1" outlineLevel="1" spans="1:13">
      <c r="A81" s="22">
        <v>5</v>
      </c>
      <c r="B81" s="42" t="s">
        <v>238</v>
      </c>
      <c r="C81" s="33" t="s">
        <v>239</v>
      </c>
      <c r="D81" s="37" t="s">
        <v>240</v>
      </c>
      <c r="E81" s="38" t="s">
        <v>68</v>
      </c>
      <c r="F81" s="43">
        <f>(0.27*2.4*2+0.36*1.22)*2</f>
        <v>3.4704</v>
      </c>
      <c r="G81" s="28"/>
      <c r="H81" s="28"/>
      <c r="I81" s="52"/>
      <c r="J81" s="52"/>
      <c r="K81" s="52"/>
      <c r="L81" s="52"/>
      <c r="M81" s="55"/>
    </row>
    <row r="82" s="5" customFormat="1" ht="72" customHeight="1" outlineLevel="1" spans="1:13">
      <c r="A82" s="22">
        <v>7</v>
      </c>
      <c r="B82" s="44" t="s">
        <v>261</v>
      </c>
      <c r="C82" s="59" t="s">
        <v>262</v>
      </c>
      <c r="D82" s="25" t="s">
        <v>234</v>
      </c>
      <c r="E82" s="60" t="s">
        <v>130</v>
      </c>
      <c r="F82" s="43">
        <f>54.68*4+26.7</f>
        <v>245.42</v>
      </c>
      <c r="G82" s="28"/>
      <c r="H82" s="28"/>
      <c r="I82" s="52"/>
      <c r="J82" s="52"/>
      <c r="K82" s="52"/>
      <c r="L82" s="52"/>
      <c r="M82" s="55"/>
    </row>
    <row r="83" s="5" customFormat="1" ht="72" customHeight="1" outlineLevel="1" spans="1:13">
      <c r="A83" s="22">
        <v>8</v>
      </c>
      <c r="B83" s="44" t="s">
        <v>192</v>
      </c>
      <c r="C83" s="45" t="s">
        <v>193</v>
      </c>
      <c r="D83" s="25" t="s">
        <v>67</v>
      </c>
      <c r="E83" s="26" t="s">
        <v>68</v>
      </c>
      <c r="F83" s="43">
        <f>28.7*2.4*2</f>
        <v>137.76</v>
      </c>
      <c r="G83" s="28"/>
      <c r="H83" s="28"/>
      <c r="I83" s="52"/>
      <c r="J83" s="52"/>
      <c r="K83" s="52"/>
      <c r="L83" s="52"/>
      <c r="M83" s="55"/>
    </row>
    <row r="84" s="2" customFormat="1" ht="72" customHeight="1" spans="1:13">
      <c r="A84" s="22">
        <v>9</v>
      </c>
      <c r="B84" s="23" t="s">
        <v>263</v>
      </c>
      <c r="C84" s="24" t="s">
        <v>264</v>
      </c>
      <c r="D84" s="25" t="s">
        <v>67</v>
      </c>
      <c r="E84" s="26" t="s">
        <v>68</v>
      </c>
      <c r="F84" s="27">
        <f>1.29*2.9*4-1*2.3</f>
        <v>12.664</v>
      </c>
      <c r="G84" s="28"/>
      <c r="H84" s="28"/>
      <c r="I84" s="52"/>
      <c r="J84" s="52"/>
      <c r="K84" s="52"/>
      <c r="L84" s="52"/>
      <c r="M84" s="55"/>
    </row>
    <row r="85" s="6" customFormat="1" ht="72" customHeight="1" outlineLevel="1" spans="1:13">
      <c r="A85" s="22">
        <v>10</v>
      </c>
      <c r="B85" s="46" t="s">
        <v>265</v>
      </c>
      <c r="C85" s="61" t="s">
        <v>266</v>
      </c>
      <c r="D85" s="25" t="s">
        <v>67</v>
      </c>
      <c r="E85" s="26" t="s">
        <v>68</v>
      </c>
      <c r="F85" s="43">
        <f>+$F$84*2</f>
        <v>25.328</v>
      </c>
      <c r="G85" s="28"/>
      <c r="H85" s="28"/>
      <c r="I85" s="52"/>
      <c r="J85" s="52"/>
      <c r="K85" s="52"/>
      <c r="L85" s="52"/>
      <c r="M85" s="55"/>
    </row>
    <row r="86" s="2" customFormat="1" ht="28" customHeight="1" spans="1:13">
      <c r="A86" s="62"/>
      <c r="B86" s="17" t="s">
        <v>268</v>
      </c>
      <c r="C86" s="18"/>
      <c r="D86" s="25"/>
      <c r="E86" s="25"/>
      <c r="F86" s="26"/>
      <c r="G86" s="29"/>
      <c r="H86" s="30"/>
      <c r="I86" s="52"/>
      <c r="J86" s="52"/>
      <c r="K86" s="52"/>
      <c r="L86" s="52"/>
      <c r="M86" s="55"/>
    </row>
    <row r="87" s="6" customFormat="1" ht="72" customHeight="1" outlineLevel="1" spans="1:13">
      <c r="A87" s="22">
        <v>1</v>
      </c>
      <c r="B87" s="25" t="s">
        <v>278</v>
      </c>
      <c r="C87" s="63" t="s">
        <v>279</v>
      </c>
      <c r="D87" s="25" t="s">
        <v>280</v>
      </c>
      <c r="E87" s="26" t="s">
        <v>281</v>
      </c>
      <c r="F87" s="43">
        <v>1</v>
      </c>
      <c r="G87" s="28"/>
      <c r="H87" s="28"/>
      <c r="I87" s="52"/>
      <c r="J87" s="52"/>
      <c r="K87" s="52"/>
      <c r="L87" s="52"/>
      <c r="M87" s="86"/>
    </row>
    <row r="88" ht="25" customHeight="1" spans="1:13">
      <c r="A88" s="64"/>
      <c r="B88" s="65" t="s">
        <v>282</v>
      </c>
      <c r="C88" s="66"/>
      <c r="D88" s="67"/>
      <c r="E88" s="67"/>
      <c r="F88" s="67"/>
      <c r="G88" s="68"/>
      <c r="H88" s="69"/>
      <c r="I88" s="69"/>
      <c r="J88" s="69"/>
      <c r="K88" s="69"/>
      <c r="L88" s="48"/>
      <c r="M88" s="87"/>
    </row>
    <row r="89" s="1" customFormat="1" ht="25" customHeight="1" spans="1:13">
      <c r="A89" s="70" t="s">
        <v>95</v>
      </c>
      <c r="B89" s="71" t="s">
        <v>285</v>
      </c>
      <c r="C89" s="72"/>
      <c r="D89" s="73"/>
      <c r="E89" s="73"/>
      <c r="F89" s="73"/>
      <c r="G89" s="74"/>
      <c r="H89" s="75"/>
      <c r="I89" s="75"/>
      <c r="J89" s="75"/>
      <c r="K89" s="75"/>
      <c r="L89" s="51"/>
      <c r="M89" s="88"/>
    </row>
    <row r="90" s="4" customFormat="1" ht="72" customHeight="1" outlineLevel="1" spans="1:13">
      <c r="A90" s="22">
        <v>1</v>
      </c>
      <c r="B90" s="23" t="s">
        <v>85</v>
      </c>
      <c r="C90" s="47" t="s">
        <v>86</v>
      </c>
      <c r="D90" s="31" t="s">
        <v>67</v>
      </c>
      <c r="E90" s="23" t="s">
        <v>68</v>
      </c>
      <c r="F90" s="27">
        <f>5867.86+6389.14+529.4</f>
        <v>12786.4</v>
      </c>
      <c r="G90" s="29"/>
      <c r="H90" s="30"/>
      <c r="I90" s="52"/>
      <c r="J90" s="52"/>
      <c r="K90" s="52"/>
      <c r="L90" s="52"/>
      <c r="M90" s="89"/>
    </row>
    <row r="91" s="1" customFormat="1" ht="25" customHeight="1" spans="1:13">
      <c r="A91" s="70" t="s">
        <v>140</v>
      </c>
      <c r="B91" s="71" t="s">
        <v>286</v>
      </c>
      <c r="C91" s="72"/>
      <c r="D91" s="73"/>
      <c r="E91" s="73"/>
      <c r="F91" s="73"/>
      <c r="G91" s="74"/>
      <c r="H91" s="75"/>
      <c r="I91" s="75"/>
      <c r="J91" s="75"/>
      <c r="K91" s="75"/>
      <c r="L91" s="51"/>
      <c r="M91" s="88"/>
    </row>
    <row r="92" s="6" customFormat="1" ht="72" customHeight="1" outlineLevel="1" spans="1:13">
      <c r="A92" s="22">
        <v>1</v>
      </c>
      <c r="B92" s="31" t="s">
        <v>287</v>
      </c>
      <c r="C92" s="76" t="s">
        <v>288</v>
      </c>
      <c r="D92" s="25" t="s">
        <v>271</v>
      </c>
      <c r="E92" s="26" t="s">
        <v>68</v>
      </c>
      <c r="F92" s="43">
        <v>26478</v>
      </c>
      <c r="G92" s="28"/>
      <c r="H92" s="28"/>
      <c r="I92" s="52"/>
      <c r="J92" s="52"/>
      <c r="K92" s="52"/>
      <c r="L92" s="52"/>
      <c r="M92" s="90"/>
    </row>
    <row r="93" s="7" customFormat="1" ht="30" customHeight="1" spans="1:13">
      <c r="A93" s="73" t="s">
        <v>220</v>
      </c>
      <c r="B93" s="77" t="s">
        <v>289</v>
      </c>
      <c r="C93" s="78"/>
      <c r="D93" s="73"/>
      <c r="E93" s="73"/>
      <c r="F93" s="73"/>
      <c r="G93" s="73"/>
      <c r="H93" s="79"/>
      <c r="I93" s="79"/>
      <c r="J93" s="79"/>
      <c r="K93" s="79"/>
      <c r="L93" s="79"/>
      <c r="M93" s="91"/>
    </row>
    <row r="94" ht="30" customHeight="1" spans="1:12">
      <c r="A94" s="80">
        <v>1</v>
      </c>
      <c r="B94" s="80" t="s">
        <v>289</v>
      </c>
      <c r="C94" s="80" t="s">
        <v>290</v>
      </c>
      <c r="D94" s="80"/>
      <c r="E94" s="80" t="s">
        <v>134</v>
      </c>
      <c r="F94" s="80">
        <v>1</v>
      </c>
      <c r="G94" s="80"/>
      <c r="H94" s="80"/>
      <c r="I94" s="80"/>
      <c r="J94" s="80"/>
      <c r="K94" s="80"/>
      <c r="L94" s="80"/>
    </row>
    <row r="95" customFormat="1" ht="30" customHeight="1" spans="1:13">
      <c r="A95" s="80">
        <v>2</v>
      </c>
      <c r="B95" s="80" t="s">
        <v>291</v>
      </c>
      <c r="C95" s="80" t="s">
        <v>292</v>
      </c>
      <c r="D95" s="80"/>
      <c r="E95" s="80" t="s">
        <v>68</v>
      </c>
      <c r="F95" s="80">
        <v>1</v>
      </c>
      <c r="G95" s="80"/>
      <c r="H95" s="80"/>
      <c r="I95" s="80"/>
      <c r="J95" s="80"/>
      <c r="K95" s="80"/>
      <c r="L95" s="80"/>
      <c r="M95" s="9"/>
    </row>
    <row r="96" s="7" customFormat="1" ht="30" customHeight="1" spans="1:13">
      <c r="A96" s="79" t="s">
        <v>225</v>
      </c>
      <c r="B96" s="81" t="s">
        <v>293</v>
      </c>
      <c r="C96" s="82"/>
      <c r="D96" s="79"/>
      <c r="E96" s="79"/>
      <c r="F96" s="79"/>
      <c r="G96" s="79"/>
      <c r="H96" s="79"/>
      <c r="I96" s="79"/>
      <c r="J96" s="79"/>
      <c r="K96" s="79"/>
      <c r="L96" s="79"/>
      <c r="M96" s="91"/>
    </row>
    <row r="97" ht="30" customHeight="1" spans="1:12">
      <c r="A97" s="80">
        <v>1</v>
      </c>
      <c r="B97" s="80" t="s">
        <v>293</v>
      </c>
      <c r="C97" s="80" t="s">
        <v>294</v>
      </c>
      <c r="D97" s="80"/>
      <c r="E97" s="80" t="s">
        <v>134</v>
      </c>
      <c r="F97" s="80">
        <v>1</v>
      </c>
      <c r="G97" s="80"/>
      <c r="H97" s="80"/>
      <c r="I97" s="80"/>
      <c r="J97" s="80"/>
      <c r="K97" s="80"/>
      <c r="L97" s="80"/>
    </row>
    <row r="98" ht="30" customHeight="1" spans="1:12">
      <c r="A98" s="80">
        <v>2</v>
      </c>
      <c r="B98" s="80" t="s">
        <v>295</v>
      </c>
      <c r="C98" s="80" t="s">
        <v>294</v>
      </c>
      <c r="D98" s="80"/>
      <c r="E98" s="80" t="s">
        <v>68</v>
      </c>
      <c r="F98" s="80">
        <v>1</v>
      </c>
      <c r="G98" s="80"/>
      <c r="H98" s="80"/>
      <c r="I98" s="80"/>
      <c r="J98" s="80"/>
      <c r="K98" s="80"/>
      <c r="L98" s="80"/>
    </row>
    <row r="99" ht="30" customHeight="1" spans="1:12">
      <c r="A99" s="80">
        <v>3</v>
      </c>
      <c r="B99" s="80" t="s">
        <v>295</v>
      </c>
      <c r="C99" s="83" t="s">
        <v>296</v>
      </c>
      <c r="D99" s="80"/>
      <c r="E99" s="80" t="s">
        <v>68</v>
      </c>
      <c r="F99" s="80">
        <v>1</v>
      </c>
      <c r="G99" s="80"/>
      <c r="H99" s="80"/>
      <c r="I99" s="80"/>
      <c r="J99" s="80"/>
      <c r="K99" s="80"/>
      <c r="L99" s="80"/>
    </row>
    <row r="100" ht="32" customHeight="1" spans="1:12">
      <c r="A100" s="80"/>
      <c r="B100" s="84" t="s">
        <v>297</v>
      </c>
      <c r="C100" s="85"/>
      <c r="D100" s="80"/>
      <c r="E100" s="80"/>
      <c r="F100" s="80"/>
      <c r="G100" s="80"/>
      <c r="H100" s="80"/>
      <c r="I100" s="80"/>
      <c r="J100" s="80"/>
      <c r="K100" s="80"/>
      <c r="L100" s="80"/>
    </row>
    <row r="101" ht="32" customHeight="1" spans="1:12">
      <c r="A101" s="80"/>
      <c r="B101" s="84" t="s">
        <v>298</v>
      </c>
      <c r="C101" s="85"/>
      <c r="D101" s="80"/>
      <c r="E101" s="80"/>
      <c r="F101" s="80"/>
      <c r="G101" s="80"/>
      <c r="H101" s="80"/>
      <c r="I101" s="80"/>
      <c r="J101" s="80"/>
      <c r="K101" s="80"/>
      <c r="L101" s="80"/>
    </row>
    <row r="102" ht="20.1" customHeight="1"/>
    <row r="103" ht="20.1" customHeight="1"/>
    <row r="104" ht="20.1" customHeight="1"/>
    <row r="105" ht="20.1" customHeight="1"/>
    <row r="106" ht="20.1" customHeight="1"/>
    <row r="107" ht="20.1" customHeight="1"/>
    <row r="108" ht="20.1" customHeight="1"/>
    <row r="109" ht="20.1" customHeight="1"/>
    <row r="110" ht="20.1" customHeight="1"/>
    <row r="111" ht="20.1" customHeight="1"/>
    <row r="112" ht="20.1" customHeight="1"/>
    <row r="113" ht="20.1" customHeight="1"/>
    <row r="114" ht="20.1" customHeight="1"/>
    <row r="115" ht="20.1" customHeight="1"/>
  </sheetData>
  <autoFilter ref="A2:M101">
    <extLst/>
  </autoFilter>
  <mergeCells count="29">
    <mergeCell ref="A1:M1"/>
    <mergeCell ref="G2:J2"/>
    <mergeCell ref="B5:C5"/>
    <mergeCell ref="B6:C6"/>
    <mergeCell ref="B18:C18"/>
    <mergeCell ref="B34:C34"/>
    <mergeCell ref="B67:C67"/>
    <mergeCell ref="B71:C71"/>
    <mergeCell ref="B76:C76"/>
    <mergeCell ref="B86:C86"/>
    <mergeCell ref="B88:C88"/>
    <mergeCell ref="B89:C89"/>
    <mergeCell ref="B91:C91"/>
    <mergeCell ref="B93:C93"/>
    <mergeCell ref="B96:C96"/>
    <mergeCell ref="B100:C100"/>
    <mergeCell ref="B101:C101"/>
    <mergeCell ref="A2:A4"/>
    <mergeCell ref="B2:B4"/>
    <mergeCell ref="C2:C4"/>
    <mergeCell ref="D2:D4"/>
    <mergeCell ref="E2:E4"/>
    <mergeCell ref="F2:F4"/>
    <mergeCell ref="G3:G4"/>
    <mergeCell ref="H3:H4"/>
    <mergeCell ref="K2:K4"/>
    <mergeCell ref="L2:L4"/>
    <mergeCell ref="M2:M4"/>
    <mergeCell ref="M7:M87"/>
  </mergeCells>
  <printOptions horizontalCentered="1" verticalCentered="1"/>
  <pageMargins left="0" right="0" top="0" bottom="0" header="0.511811023622047" footer="0.511811023622047"/>
  <pageSetup paperSize="9" scale="46" orientation="landscape"/>
  <headerFooter/>
  <rowBreaks count="1" manualBreakCount="1">
    <brk id="75" max="12"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编制说明</vt:lpstr>
      <vt:lpstr>楼栋报价汇总表</vt:lpstr>
      <vt:lpstr>体育馆-地上</vt:lpstr>
      <vt:lpstr>体育馆-地上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2023-05-13T06:02:00Z</dcterms:created>
  <dcterms:modified xsi:type="dcterms:W3CDTF">2023-06-18T18:11:00Z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312C4C474B6245F995BD43C8182FBBB5_13</vt:lpwstr>
  </property>
  <property fmtid="{D5CDD505-2E9C-101B-9397-08002B2CF9AE}" pid="3" name="KSOProductBuildVer">
    <vt:lpwstr>2052-11.1.0.14309</vt:lpwstr>
  </property>
</Properties>
</file>